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73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<sst xmlns="http://schemas.openxmlformats.org/spreadsheetml/2006/main" count="1559" uniqueCount="206">
  <si>
    <t>ESTRELLA</t>
  </si>
  <si>
    <t xml:space="preserve">     -------</t>
  </si>
  <si>
    <t>AÑOS</t>
  </si>
  <si>
    <t>CONSTELACIÓN</t>
  </si>
  <si>
    <t>SOLES</t>
  </si>
  <si>
    <t>1 UA</t>
  </si>
  <si>
    <r>
      <t xml:space="preserve">  2</t>
    </r>
    <r>
      <rPr>
        <sz val="11"/>
        <color indexed="8"/>
        <rFont val="Calibri"/>
        <family val="2"/>
      </rPr>
      <t>π</t>
    </r>
  </si>
  <si>
    <t xml:space="preserve">  DÍAS AÑO</t>
  </si>
  <si>
    <t>MASA  DEL SOL</t>
  </si>
  <si>
    <t>MASA DE JÚPITER</t>
  </si>
  <si>
    <t>MASA TIERRA</t>
  </si>
  <si>
    <t>MASA INICIAL</t>
  </si>
  <si>
    <t xml:space="preserve">     TABLA DE DATOS DE SISTEMAS PLANETARIOS  PLANETAS Y EXOPLANETAS </t>
  </si>
  <si>
    <t>MASA</t>
  </si>
  <si>
    <t>M/kg/km/sg</t>
  </si>
  <si>
    <t>LÍMITE (UA)</t>
  </si>
  <si>
    <t>DÍAS</t>
  </si>
  <si>
    <t>Eje (es)</t>
  </si>
  <si>
    <t>Sedna</t>
  </si>
  <si>
    <t>CÁLCULO DE DATOS POR EL EJE DE SIMETRÍA (ES)</t>
  </si>
  <si>
    <t>Dato publico</t>
  </si>
  <si>
    <t>Dato público</t>
  </si>
  <si>
    <t>a Vo 1 km/sg</t>
  </si>
  <si>
    <t xml:space="preserve">    sgs</t>
  </si>
  <si>
    <t>CP</t>
  </si>
  <si>
    <t>cm</t>
  </si>
  <si>
    <t>SISTEMA</t>
  </si>
  <si>
    <t>PLANETARIO</t>
  </si>
  <si>
    <t>Semieje mayor</t>
  </si>
  <si>
    <t xml:space="preserve">       LO</t>
  </si>
  <si>
    <t xml:space="preserve">    kms</t>
  </si>
  <si>
    <t xml:space="preserve">      Vo</t>
  </si>
  <si>
    <t xml:space="preserve"> kms/sg</t>
  </si>
  <si>
    <t xml:space="preserve">    ------</t>
  </si>
  <si>
    <t xml:space="preserve">       -------</t>
  </si>
  <si>
    <t xml:space="preserve">  --------</t>
  </si>
  <si>
    <t>DISTANCIA</t>
  </si>
  <si>
    <t>Años/luz</t>
  </si>
  <si>
    <t xml:space="preserve">   MASA</t>
  </si>
  <si>
    <t xml:space="preserve">   kgs</t>
  </si>
  <si>
    <t>acumulación</t>
  </si>
  <si>
    <t xml:space="preserve">  EJE (ES)</t>
  </si>
  <si>
    <t xml:space="preserve">      -------</t>
  </si>
  <si>
    <t xml:space="preserve">     --------</t>
  </si>
  <si>
    <t>(UA)-publicad</t>
  </si>
  <si>
    <t xml:space="preserve">          PARA COMPROBAR</t>
  </si>
  <si>
    <t>1.- UPSILON</t>
  </si>
  <si>
    <t>ANDROMEDAE</t>
  </si>
  <si>
    <t>ANDROMEDA</t>
  </si>
  <si>
    <t>b</t>
  </si>
  <si>
    <t>c</t>
  </si>
  <si>
    <t>d</t>
  </si>
  <si>
    <t xml:space="preserve">        -------</t>
  </si>
  <si>
    <t xml:space="preserve">      ---------</t>
  </si>
  <si>
    <t xml:space="preserve">     ------</t>
  </si>
  <si>
    <t xml:space="preserve">      --------</t>
  </si>
  <si>
    <t xml:space="preserve">    ----------</t>
  </si>
  <si>
    <t>2.- HD 17156</t>
  </si>
  <si>
    <t>CASSIOPEIA</t>
  </si>
  <si>
    <t xml:space="preserve">     ---------</t>
  </si>
  <si>
    <t xml:space="preserve">     ----------</t>
  </si>
  <si>
    <t>3.- ERSILON</t>
  </si>
  <si>
    <t>ERIDANI</t>
  </si>
  <si>
    <t>ERIDANUS</t>
  </si>
  <si>
    <t xml:space="preserve">       --------</t>
  </si>
  <si>
    <t xml:space="preserve">    --------</t>
  </si>
  <si>
    <t xml:space="preserve">   ---------</t>
  </si>
  <si>
    <t xml:space="preserve">   -------</t>
  </si>
  <si>
    <t>4.- XO-2</t>
  </si>
  <si>
    <t>LINCE</t>
  </si>
  <si>
    <t>2b</t>
  </si>
  <si>
    <t xml:space="preserve">  - - -- - - - </t>
  </si>
  <si>
    <t xml:space="preserve"> - - - - - - -</t>
  </si>
  <si>
    <t xml:space="preserve">  ----------</t>
  </si>
  <si>
    <t>Mercurio</t>
  </si>
  <si>
    <t>Venus</t>
  </si>
  <si>
    <t>Tierra</t>
  </si>
  <si>
    <t>Marte</t>
  </si>
  <si>
    <t>Júpiter</t>
  </si>
  <si>
    <t>Saturno</t>
  </si>
  <si>
    <t>Urano</t>
  </si>
  <si>
    <t>Neptuno</t>
  </si>
  <si>
    <t>Plutón</t>
  </si>
  <si>
    <t>5.- OGLE-TR-</t>
  </si>
  <si>
    <t xml:space="preserve">    -------</t>
  </si>
  <si>
    <t>CARINA</t>
  </si>
  <si>
    <t>6.-OGLE-TR-132</t>
  </si>
  <si>
    <t xml:space="preserve">      ------</t>
  </si>
  <si>
    <t xml:space="preserve">   --------</t>
  </si>
  <si>
    <t>7.-OGLE-TR-113</t>
  </si>
  <si>
    <t>8.-OGLE-TR-111</t>
  </si>
  <si>
    <t xml:space="preserve">     -----------</t>
  </si>
  <si>
    <t>9.- OGLE-TR-182</t>
  </si>
  <si>
    <t xml:space="preserve">       ------</t>
  </si>
  <si>
    <t>0- SOL</t>
  </si>
  <si>
    <t>10.-GLIESE 436</t>
  </si>
  <si>
    <t>LEO</t>
  </si>
  <si>
    <t xml:space="preserve">       ---------</t>
  </si>
  <si>
    <t>11.-2M 1207</t>
  </si>
  <si>
    <t>CENTAURUS</t>
  </si>
  <si>
    <t xml:space="preserve">    ---------</t>
  </si>
  <si>
    <t>12-PSR B1257+12</t>
  </si>
  <si>
    <t>VIRGO</t>
  </si>
  <si>
    <t>A</t>
  </si>
  <si>
    <t>B</t>
  </si>
  <si>
    <t>C</t>
  </si>
  <si>
    <t>ES/Lo</t>
  </si>
  <si>
    <t>Publicado</t>
  </si>
  <si>
    <t>Sem. Mayor UA</t>
  </si>
  <si>
    <t>ES/LO</t>
  </si>
  <si>
    <t xml:space="preserve">            -----------</t>
  </si>
  <si>
    <t xml:space="preserve">  ---------</t>
  </si>
  <si>
    <t>SGS DÍA</t>
  </si>
  <si>
    <t>OSAMAYOR</t>
  </si>
  <si>
    <t>3b</t>
  </si>
  <si>
    <t xml:space="preserve">          ---------</t>
  </si>
  <si>
    <t xml:space="preserve">  -------</t>
  </si>
  <si>
    <t>13-GSC 03466-</t>
  </si>
  <si>
    <t>___00819</t>
  </si>
  <si>
    <t>14.- XO-3</t>
  </si>
  <si>
    <t>COMA BERENICE</t>
  </si>
  <si>
    <t xml:space="preserve">     -------- </t>
  </si>
  <si>
    <t xml:space="preserve">            ---------</t>
  </si>
  <si>
    <t>15.-BD+36º 2593</t>
  </si>
  <si>
    <t>BOÖTES</t>
  </si>
  <si>
    <t>4b</t>
  </si>
  <si>
    <t xml:space="preserve">         --------</t>
  </si>
  <si>
    <t>16.-LUPS-TR-3</t>
  </si>
  <si>
    <t>LUPUS</t>
  </si>
  <si>
    <t xml:space="preserve">        -----------</t>
  </si>
  <si>
    <t xml:space="preserve">      - ------</t>
  </si>
  <si>
    <t xml:space="preserve">       -----</t>
  </si>
  <si>
    <t>17.-XO-1</t>
  </si>
  <si>
    <t>CORONA BORAEUS</t>
  </si>
  <si>
    <t xml:space="preserve">    --------------</t>
  </si>
  <si>
    <t>18.-HD 147506</t>
  </si>
  <si>
    <t>HÉRCULES</t>
  </si>
  <si>
    <t xml:space="preserve"> - - - - - - - --</t>
  </si>
  <si>
    <t xml:space="preserve">   ----------</t>
  </si>
  <si>
    <t xml:space="preserve">   -----------</t>
  </si>
  <si>
    <t>19.-HD 149026</t>
  </si>
  <si>
    <t xml:space="preserve">    -----------</t>
  </si>
  <si>
    <t xml:space="preserve">  ------------</t>
  </si>
  <si>
    <t xml:space="preserve">       ----------</t>
  </si>
  <si>
    <t>20.-OGLE-TR-10</t>
  </si>
  <si>
    <t>SAGITARIO</t>
  </si>
  <si>
    <t xml:space="preserve">         ----------</t>
  </si>
  <si>
    <t xml:space="preserve">        --------</t>
  </si>
  <si>
    <t>21.-GSC 03089-00929</t>
  </si>
  <si>
    <t>TrES-3</t>
  </si>
  <si>
    <t xml:space="preserve">   ------------</t>
  </si>
  <si>
    <t>22.-GSC 02620-00648</t>
  </si>
  <si>
    <t>TrES-4</t>
  </si>
  <si>
    <t xml:space="preserve">          ------------</t>
  </si>
  <si>
    <t>23.-OGLE-TR-56</t>
  </si>
  <si>
    <t xml:space="preserve">        ------------</t>
  </si>
  <si>
    <t>24.-SWEEPS-04</t>
  </si>
  <si>
    <t xml:space="preserve"> ----------</t>
  </si>
  <si>
    <t>25.-SWEEPS-11</t>
  </si>
  <si>
    <t xml:space="preserve">         --------------</t>
  </si>
  <si>
    <t>26.-OGLE-2003-</t>
  </si>
  <si>
    <t>BLG-235L</t>
  </si>
  <si>
    <t>MOA-2003-BLG-53L</t>
  </si>
  <si>
    <t xml:space="preserve">          -----------</t>
  </si>
  <si>
    <t>_____01087</t>
  </si>
  <si>
    <t>27.-GSC 02634--</t>
  </si>
  <si>
    <t>LYRA</t>
  </si>
  <si>
    <t>5b</t>
  </si>
  <si>
    <t xml:space="preserve">         -------</t>
  </si>
  <si>
    <t>28.-GSC-02652--</t>
  </si>
  <si>
    <t>____01324</t>
  </si>
  <si>
    <t>TrES-1</t>
  </si>
  <si>
    <t xml:space="preserve">           ------</t>
  </si>
  <si>
    <t xml:space="preserve">         -----------</t>
  </si>
  <si>
    <t>29.-GSC 03549-</t>
  </si>
  <si>
    <t>___02811</t>
  </si>
  <si>
    <t>DRACO</t>
  </si>
  <si>
    <t>TrES-2</t>
  </si>
  <si>
    <t>30.-HD 189733</t>
  </si>
  <si>
    <t>VULPECULA</t>
  </si>
  <si>
    <t xml:space="preserve">      ------------</t>
  </si>
  <si>
    <t xml:space="preserve">      ----------</t>
  </si>
  <si>
    <t>31.-WASP-1</t>
  </si>
  <si>
    <t>32.-WASP-2</t>
  </si>
  <si>
    <t>DELPHINUS</t>
  </si>
  <si>
    <t xml:space="preserve">        --------------</t>
  </si>
  <si>
    <t>33.- GLIESE 581</t>
  </si>
  <si>
    <t>LIBRA</t>
  </si>
  <si>
    <t>e</t>
  </si>
  <si>
    <t>g</t>
  </si>
  <si>
    <t>f</t>
  </si>
  <si>
    <t xml:space="preserve">           --------------</t>
  </si>
  <si>
    <t>34.-HD 209458</t>
  </si>
  <si>
    <t>PEGASO</t>
  </si>
  <si>
    <t xml:space="preserve">          --------</t>
  </si>
  <si>
    <t>35.-ADS 16402</t>
  </si>
  <si>
    <t>LACERTA</t>
  </si>
  <si>
    <t>1b</t>
  </si>
  <si>
    <t xml:space="preserve">        ----------</t>
  </si>
  <si>
    <t xml:space="preserve">  -----------</t>
  </si>
  <si>
    <t>36.-GSC 03239</t>
  </si>
  <si>
    <t>__00992</t>
  </si>
  <si>
    <t>6b</t>
  </si>
  <si>
    <t>calculado</t>
  </si>
  <si>
    <t xml:space="preserve">      -------------</t>
  </si>
  <si>
    <t>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</si>
</sst>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6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u val="single"/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b/>
      <u val="single"/>
      <sz val="18"/>
      <name val="Calibri"/>
      <family val="2"/>
    </font>
    <font>
      <sz val="10"/>
      <name val="Calibri"/>
      <family val="2"/>
    </font>
    <font>
      <b/>
      <u val="single"/>
      <sz val="14"/>
      <color indexed="36"/>
      <name val="Calibri"/>
      <family val="2"/>
    </font>
    <font>
      <u val="single"/>
      <sz val="14"/>
      <name val="Calibri"/>
      <family val="2"/>
    </font>
    <font>
      <b/>
      <u val="single"/>
      <sz val="14"/>
      <color indexed="62"/>
      <name val="Calibri"/>
      <family val="2"/>
    </font>
    <font>
      <u val="single"/>
      <sz val="14"/>
      <color indexed="62"/>
      <name val="Calibri"/>
      <family val="2"/>
    </font>
    <font>
      <b/>
      <u val="single"/>
      <sz val="14"/>
      <color indexed="56"/>
      <name val="Calibri"/>
      <family val="2"/>
    </font>
    <font>
      <u val="single"/>
      <sz val="14"/>
      <color indexed="56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4"/>
      <name val="Calibri"/>
      <family val="2"/>
    </font>
    <font>
      <b/>
      <u val="single"/>
      <sz val="14"/>
      <color indexed="10"/>
      <name val="Calibri"/>
      <family val="2"/>
    </font>
    <font>
      <u val="single"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4"/>
      <color theme="7"/>
      <name val="Calibri"/>
      <family val="2"/>
    </font>
    <font>
      <b/>
      <u val="single"/>
      <sz val="14"/>
      <color theme="4"/>
      <name val="Calibri"/>
      <family val="2"/>
    </font>
    <font>
      <u val="single"/>
      <sz val="14"/>
      <color theme="4"/>
      <name val="Calibri"/>
      <family val="2"/>
    </font>
    <font>
      <b/>
      <u val="single"/>
      <sz val="14"/>
      <color theme="3"/>
      <name val="Calibri"/>
      <family val="2"/>
    </font>
    <font>
      <u val="single"/>
      <sz val="14"/>
      <color theme="3"/>
      <name val="Calibri"/>
      <family val="2"/>
    </font>
    <font>
      <b/>
      <u val="single"/>
      <sz val="12"/>
      <color theme="3"/>
      <name val="Calibri"/>
      <family val="2"/>
    </font>
    <font>
      <b/>
      <u val="single"/>
      <sz val="14"/>
      <color theme="5"/>
      <name val="Calibri"/>
      <family val="2"/>
    </font>
    <font>
      <u val="single"/>
      <sz val="14"/>
      <color theme="5"/>
      <name val="Calibri"/>
      <family val="2"/>
    </font>
    <font>
      <sz val="11"/>
      <color theme="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72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3" fontId="29" fillId="0" borderId="0" xfId="0" applyNumberFormat="1" applyFont="1" applyAlignment="1">
      <alignment/>
    </xf>
    <xf numFmtId="0" fontId="73" fillId="0" borderId="0" xfId="0" applyFont="1" applyAlignment="1">
      <alignment/>
    </xf>
    <xf numFmtId="0" fontId="39" fillId="0" borderId="0" xfId="0" applyFont="1" applyAlignment="1">
      <alignment/>
    </xf>
    <xf numFmtId="3" fontId="33" fillId="0" borderId="0" xfId="0" applyNumberFormat="1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45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67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9"/>
  <sheetViews>
    <sheetView tabSelected="1" zoomScalePageLayoutView="0" workbookViewId="0" topLeftCell="B11">
      <selection activeCell="L27" sqref="L27"/>
    </sheetView>
  </sheetViews>
  <sheetFormatPr defaultColWidth="11.421875" defaultRowHeight="15"/>
  <cols>
    <col min="1" max="1" width="20.7109375" style="0" customWidth="1"/>
    <col min="2" max="2" width="18.7109375" style="0" customWidth="1"/>
    <col min="3" max="3" width="14.7109375" style="0" customWidth="1"/>
    <col min="4" max="4" width="12.7109375" style="0" customWidth="1"/>
    <col min="5" max="5" width="15.28125" style="0" customWidth="1"/>
    <col min="6" max="6" width="11.00390625" style="0" customWidth="1"/>
    <col min="7" max="7" width="16.28125" style="0" customWidth="1"/>
    <col min="8" max="9" width="14.00390625" style="0" customWidth="1"/>
    <col min="10" max="10" width="18.7109375" style="0" customWidth="1"/>
    <col min="11" max="11" width="13.28125" style="0" customWidth="1"/>
    <col min="12" max="12" width="12.140625" style="0" customWidth="1"/>
    <col min="13" max="13" width="13.7109375" style="0" customWidth="1"/>
    <col min="14" max="14" width="13.140625" style="0" customWidth="1"/>
    <col min="15" max="15" width="12.421875" style="0" customWidth="1"/>
    <col min="16" max="16" width="12.00390625" style="0" bestFit="1" customWidth="1"/>
    <col min="17" max="17" width="12.140625" style="0" customWidth="1"/>
    <col min="18" max="18" width="11.140625" style="0" customWidth="1"/>
    <col min="19" max="19" width="12.00390625" style="0" bestFit="1" customWidth="1"/>
  </cols>
  <sheetData>
    <row r="1" spans="1:8" ht="15">
      <c r="A1" t="s">
        <v>5</v>
      </c>
      <c r="B1" t="s">
        <v>6</v>
      </c>
      <c r="C1" t="s">
        <v>112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 r="2" spans="1:8" ht="15">
      <c r="A2">
        <v>149597870</v>
      </c>
      <c r="B2">
        <v>6.2832</v>
      </c>
      <c r="C2">
        <v>86400</v>
      </c>
      <c r="D2">
        <v>365.25</v>
      </c>
      <c r="E2">
        <v>1.989E+30</v>
      </c>
      <c r="F2">
        <v>1.899E+27</v>
      </c>
      <c r="G2">
        <v>5.9736E+24</v>
      </c>
      <c r="H2">
        <v>2.38E+18</v>
      </c>
    </row>
    <row r="3" spans="6:10" ht="18.75">
      <c r="F3" t="s">
        <v>45</v>
      </c>
      <c r="J3" s="5"/>
    </row>
    <row r="4" spans="6:10" ht="18.75">
      <c r="F4" s="14" t="s">
        <v>19</v>
      </c>
      <c r="G4" s="12"/>
      <c r="H4" s="12"/>
      <c r="I4" s="12"/>
      <c r="J4" s="12"/>
    </row>
    <row r="5" spans="1:11" ht="21">
      <c r="A5" s="4"/>
      <c r="C5" s="4"/>
      <c r="D5" s="9" t="s">
        <v>12</v>
      </c>
      <c r="E5" s="10"/>
      <c r="F5" s="11"/>
      <c r="G5" s="11"/>
      <c r="H5" s="11"/>
      <c r="I5" s="11"/>
      <c r="J5" s="12"/>
      <c r="K5" s="12"/>
    </row>
    <row r="6" spans="1:18" ht="18.75">
      <c r="A6" s="22" t="s">
        <v>0</v>
      </c>
      <c r="B6" s="22" t="s">
        <v>3</v>
      </c>
      <c r="C6" s="22" t="s">
        <v>36</v>
      </c>
      <c r="D6" s="22" t="s">
        <v>38</v>
      </c>
      <c r="E6" s="22" t="s">
        <v>4</v>
      </c>
      <c r="F6" s="22" t="s">
        <v>14</v>
      </c>
      <c r="G6" s="22" t="s">
        <v>41</v>
      </c>
      <c r="H6" s="22" t="s">
        <v>15</v>
      </c>
      <c r="I6" s="31" t="s">
        <v>26</v>
      </c>
      <c r="J6" s="31" t="s">
        <v>28</v>
      </c>
      <c r="K6" s="31" t="s">
        <v>29</v>
      </c>
      <c r="L6" s="31" t="s">
        <v>31</v>
      </c>
      <c r="M6" s="31" t="s">
        <v>23</v>
      </c>
      <c r="N6" s="31" t="s">
        <v>16</v>
      </c>
      <c r="O6" s="31" t="s">
        <v>2</v>
      </c>
      <c r="P6" s="31" t="s">
        <v>13</v>
      </c>
      <c r="Q6" s="31" t="s">
        <v>17</v>
      </c>
      <c r="R6" s="30" t="s">
        <v>106</v>
      </c>
    </row>
    <row r="7" spans="1:17" ht="18.75">
      <c r="A7" s="25"/>
      <c r="B7" s="26"/>
      <c r="C7" s="25" t="s">
        <v>37</v>
      </c>
      <c r="D7" s="26" t="s">
        <v>39</v>
      </c>
      <c r="E7" s="26"/>
      <c r="F7" s="25" t="s">
        <v>40</v>
      </c>
      <c r="G7" s="25" t="s">
        <v>30</v>
      </c>
      <c r="H7" s="25" t="s">
        <v>22</v>
      </c>
      <c r="I7" s="31" t="s">
        <v>27</v>
      </c>
      <c r="J7" s="31" t="s">
        <v>44</v>
      </c>
      <c r="K7" s="31" t="s">
        <v>30</v>
      </c>
      <c r="L7" s="31" t="s">
        <v>32</v>
      </c>
      <c r="M7" s="32"/>
      <c r="N7" s="23" t="s">
        <v>107</v>
      </c>
      <c r="O7" s="32"/>
      <c r="P7" s="23" t="s">
        <v>107</v>
      </c>
      <c r="Q7" s="32"/>
    </row>
    <row r="8" spans="1:18" ht="18.75">
      <c r="A8" s="14" t="s">
        <v>94</v>
      </c>
      <c r="B8" s="12"/>
      <c r="C8" s="12">
        <v>0</v>
      </c>
      <c r="D8" s="14">
        <f>+G8*H2</f>
        <v>1.989E+30</v>
      </c>
      <c r="E8" s="15">
        <f>+D8/E2</f>
        <v>1</v>
      </c>
      <c r="F8" s="15">
        <f>+H2/(L8*G8)</f>
        <v>7.808734554275504</v>
      </c>
      <c r="G8" s="14">
        <f>+E2/H2</f>
        <v>835714285714.2856</v>
      </c>
      <c r="H8" s="14">
        <f>+G8/B2/A2</f>
        <v>889.1018873060627</v>
      </c>
      <c r="I8" s="14" t="s">
        <v>25</v>
      </c>
      <c r="K8" s="12">
        <f>+L8*B2</f>
        <v>2291497.327076774</v>
      </c>
      <c r="L8" s="14">
        <f aca="true" t="shared" si="0" ref="L8:L18">SQRT(R8)</f>
        <v>364702.27385357366</v>
      </c>
      <c r="M8" s="12" t="s">
        <v>1</v>
      </c>
      <c r="N8" s="12" t="s">
        <v>33</v>
      </c>
      <c r="O8" s="12" t="s">
        <v>33</v>
      </c>
      <c r="P8" s="12" t="s">
        <v>34</v>
      </c>
      <c r="Q8" s="12" t="s">
        <v>35</v>
      </c>
      <c r="R8" s="12">
        <f>+G8/B2</f>
        <v>133007748553.96703</v>
      </c>
    </row>
    <row r="9" spans="1:18" ht="18.75">
      <c r="A9" s="12"/>
      <c r="B9" s="12"/>
      <c r="C9" s="12"/>
      <c r="D9" s="12"/>
      <c r="E9" s="12"/>
      <c r="H9" s="12"/>
      <c r="I9" s="14" t="s">
        <v>74</v>
      </c>
      <c r="J9" s="12">
        <v>0.387</v>
      </c>
      <c r="K9" s="12">
        <f>+J9*A2*B2</f>
        <v>363761941.33540803</v>
      </c>
      <c r="L9" s="14">
        <f t="shared" si="0"/>
        <v>47.93141868786784</v>
      </c>
      <c r="M9" s="12">
        <f aca="true" t="shared" si="1" ref="M9:M17">+K9/L9</f>
        <v>7589217.079182378</v>
      </c>
      <c r="N9" s="12">
        <f>+M9/C2</f>
        <v>87.83816063868493</v>
      </c>
      <c r="O9" s="14">
        <f>+N9/D2</f>
        <v>0.24048777724485948</v>
      </c>
      <c r="P9" s="16">
        <v>3.302E+23</v>
      </c>
      <c r="Q9" s="15">
        <f>+P9/H2</f>
        <v>138739.49579831932</v>
      </c>
      <c r="R9">
        <f>+G8/K9</f>
        <v>2297.4208974316866</v>
      </c>
    </row>
    <row r="10" spans="1:18" ht="18.75">
      <c r="A10" s="12"/>
      <c r="B10" s="12"/>
      <c r="C10" s="12"/>
      <c r="D10" s="12"/>
      <c r="E10" s="12"/>
      <c r="F10" s="12"/>
      <c r="G10" s="12"/>
      <c r="H10" s="16"/>
      <c r="I10" s="14" t="s">
        <v>75</v>
      </c>
      <c r="J10" s="12">
        <v>0.72333199</v>
      </c>
      <c r="K10" s="12">
        <f>+J10*A2*B2</f>
        <v>679898317.6031109</v>
      </c>
      <c r="L10" s="14">
        <f t="shared" si="0"/>
        <v>35.0595978135181</v>
      </c>
      <c r="M10" s="12">
        <f t="shared" si="1"/>
        <v>19392644.52545885</v>
      </c>
      <c r="N10" s="12">
        <f>+M10/C2</f>
        <v>224.4519042298478</v>
      </c>
      <c r="O10" s="14">
        <f>+N10/D2</f>
        <v>0.6145158226689879</v>
      </c>
      <c r="P10" s="16">
        <v>4.869E+24</v>
      </c>
      <c r="Q10" s="15">
        <f>+P10/H2</f>
        <v>2045798.3193277312</v>
      </c>
      <c r="R10">
        <f>+G8/K10</f>
        <v>1229.1753988456433</v>
      </c>
    </row>
    <row r="11" spans="1:18" ht="18.75">
      <c r="A11" s="12"/>
      <c r="C11" s="12"/>
      <c r="D11" s="12"/>
      <c r="E11" s="12"/>
      <c r="F11" s="12"/>
      <c r="G11" s="12"/>
      <c r="H11" s="12"/>
      <c r="I11" s="14" t="s">
        <v>76</v>
      </c>
      <c r="J11" s="12">
        <v>0.999855</v>
      </c>
      <c r="K11" s="12">
        <f>+J11*A2*B2</f>
        <v>939817043.5501665</v>
      </c>
      <c r="L11" s="14">
        <f t="shared" si="0"/>
        <v>29.819973604545662</v>
      </c>
      <c r="M11" s="12">
        <f t="shared" si="1"/>
        <v>31516360.67869972</v>
      </c>
      <c r="N11" s="12">
        <f>+M11/C2</f>
        <v>364.772693040506</v>
      </c>
      <c r="O11" s="14">
        <f>+N11/D2</f>
        <v>0.9986932047652457</v>
      </c>
      <c r="P11" s="16">
        <f>+G2</f>
        <v>5.9736E+24</v>
      </c>
      <c r="Q11" s="15">
        <f>+P11/H2</f>
        <v>2509915.9663865543</v>
      </c>
      <c r="R11">
        <f>+G8/K11</f>
        <v>889.2308257758001</v>
      </c>
    </row>
    <row r="12" spans="1:18" ht="18.75">
      <c r="A12" s="12"/>
      <c r="C12" s="12"/>
      <c r="D12" s="12"/>
      <c r="E12" s="12"/>
      <c r="F12" s="12"/>
      <c r="G12" s="12"/>
      <c r="H12" s="12"/>
      <c r="I12" s="14" t="s">
        <v>77</v>
      </c>
      <c r="J12" s="12">
        <v>1.523679</v>
      </c>
      <c r="K12" s="12">
        <f>+J12*A2*B2</f>
        <v>1432187160.2377083</v>
      </c>
      <c r="L12" s="14">
        <f t="shared" si="0"/>
        <v>24.156222716823727</v>
      </c>
      <c r="M12" s="12">
        <f t="shared" si="1"/>
        <v>59288539.314561546</v>
      </c>
      <c r="N12" s="12">
        <f>+M12/C2</f>
        <v>686.2099457703882</v>
      </c>
      <c r="O12" s="14">
        <f>+N12/D2</f>
        <v>1.878740440165334</v>
      </c>
      <c r="P12" s="16">
        <v>6.42E+23</v>
      </c>
      <c r="Q12" s="15">
        <f>+P12/H2</f>
        <v>269747.8991596639</v>
      </c>
      <c r="R12">
        <f>+G8/K12</f>
        <v>583.5230959447907</v>
      </c>
    </row>
    <row r="13" spans="1:18" ht="18.75">
      <c r="A13" s="12"/>
      <c r="C13" s="12"/>
      <c r="D13" s="12"/>
      <c r="E13" s="12"/>
      <c r="F13" s="12"/>
      <c r="G13" s="12"/>
      <c r="H13" s="12"/>
      <c r="I13" s="14" t="s">
        <v>78</v>
      </c>
      <c r="J13" s="12">
        <v>5.20336301</v>
      </c>
      <c r="K13" s="12">
        <f>+J13*A2*B2</f>
        <v>4890918423.747938</v>
      </c>
      <c r="L13" s="14">
        <f t="shared" si="0"/>
        <v>13.07174910083528</v>
      </c>
      <c r="M13" s="12">
        <f t="shared" si="1"/>
        <v>374159447.67754227</v>
      </c>
      <c r="N13" s="12">
        <f>+M13/C2</f>
        <v>4330.549162934517</v>
      </c>
      <c r="O13" s="14">
        <f>+N13/D2</f>
        <v>11.85639743445453</v>
      </c>
      <c r="P13" s="16">
        <f>+F2</f>
        <v>1.899E+27</v>
      </c>
      <c r="Q13" s="15">
        <f>+P13/H2</f>
        <v>797899159.6638656</v>
      </c>
      <c r="R13">
        <f>+G8/K13</f>
        <v>170.87062455518796</v>
      </c>
    </row>
    <row r="14" spans="1:18" ht="18.75">
      <c r="A14" s="12"/>
      <c r="C14" s="12"/>
      <c r="D14" s="12"/>
      <c r="E14" s="12"/>
      <c r="F14" s="12"/>
      <c r="G14" s="12"/>
      <c r="H14" s="12"/>
      <c r="I14" s="14" t="s">
        <v>79</v>
      </c>
      <c r="J14" s="12">
        <v>9.53707032</v>
      </c>
      <c r="K14" s="12">
        <f>+J14*A2*B2</f>
        <v>8964401070.42765</v>
      </c>
      <c r="L14" s="14">
        <f t="shared" si="0"/>
        <v>9.655355610440791</v>
      </c>
      <c r="M14" s="12">
        <f t="shared" si="1"/>
        <v>928438209.0219464</v>
      </c>
      <c r="N14" s="12">
        <f>+M14/C2</f>
        <v>10745.812604420677</v>
      </c>
      <c r="O14" s="14">
        <f>+N14/D2</f>
        <v>29.420431497387206</v>
      </c>
      <c r="P14" s="16">
        <v>5.688E+26</v>
      </c>
      <c r="Q14" s="15">
        <f>+P14/H2</f>
        <v>238991596.63865545</v>
      </c>
      <c r="R14">
        <f>+G8/K14</f>
        <v>93.22589196407046</v>
      </c>
    </row>
    <row r="15" spans="1:18" ht="21">
      <c r="A15" s="12"/>
      <c r="C15" s="16"/>
      <c r="D15" s="15"/>
      <c r="E15" s="14"/>
      <c r="F15" s="17"/>
      <c r="G15" s="12"/>
      <c r="H15" s="14"/>
      <c r="I15" s="14" t="s">
        <v>80</v>
      </c>
      <c r="J15" s="12">
        <v>19.19126393</v>
      </c>
      <c r="K15" s="12">
        <f>+J15*A2*B2</f>
        <v>18038892568.105923</v>
      </c>
      <c r="L15" s="14">
        <f t="shared" si="0"/>
        <v>6.806502008111445</v>
      </c>
      <c r="M15" s="12">
        <f t="shared" si="1"/>
        <v>2650244214.5185018</v>
      </c>
      <c r="N15" s="12">
        <f>+M15/C2</f>
        <v>30674.1228532234</v>
      </c>
      <c r="O15" s="14">
        <f>+N15/D2</f>
        <v>83.98117139828447</v>
      </c>
      <c r="P15" s="16">
        <v>8.686E+25</v>
      </c>
      <c r="Q15" s="15">
        <f>+P15/H2</f>
        <v>36495798.319327734</v>
      </c>
      <c r="R15">
        <f>+G8/K15</f>
        <v>46.328469586425136</v>
      </c>
    </row>
    <row r="16" spans="1:18" ht="23.25">
      <c r="A16" s="14"/>
      <c r="C16" s="12"/>
      <c r="D16" s="12"/>
      <c r="E16" s="18"/>
      <c r="F16" s="19"/>
      <c r="G16" s="12"/>
      <c r="H16" s="12"/>
      <c r="I16" s="14" t="s">
        <v>81</v>
      </c>
      <c r="J16" s="12">
        <f>+K16/A2/B2</f>
        <v>30.068963548745714</v>
      </c>
      <c r="K16" s="12">
        <f>4498252900*B2</f>
        <v>28263422621.28</v>
      </c>
      <c r="L16" s="14">
        <f t="shared" si="0"/>
        <v>5.437716189928647</v>
      </c>
      <c r="M16" s="12">
        <f t="shared" si="1"/>
        <v>5197664172.622232</v>
      </c>
      <c r="N16" s="12">
        <f>+M16/C2</f>
        <v>60158.15014609065</v>
      </c>
      <c r="O16" s="14">
        <f>+N16/D2</f>
        <v>164.7040387298854</v>
      </c>
      <c r="P16" s="16">
        <v>1.024E+26</v>
      </c>
      <c r="Q16" s="15">
        <f>+P16/H2</f>
        <v>43025210.08403361</v>
      </c>
      <c r="R16">
        <f>+G8/K16</f>
        <v>29.568757362212125</v>
      </c>
    </row>
    <row r="17" spans="1:18" ht="18.75">
      <c r="A17" s="12"/>
      <c r="C17" s="12"/>
      <c r="D17" s="12"/>
      <c r="E17" s="15"/>
      <c r="F17" s="15"/>
      <c r="G17" s="12"/>
      <c r="H17" s="12"/>
      <c r="I17" s="14" t="s">
        <v>82</v>
      </c>
      <c r="J17" s="12">
        <f>+K17/A2/B2</f>
        <v>39.53010828295884</v>
      </c>
      <c r="K17" s="12">
        <f>5913620000*B2</f>
        <v>37156457184</v>
      </c>
      <c r="L17" s="14">
        <f t="shared" si="0"/>
        <v>4.742548315937009</v>
      </c>
      <c r="M17" s="12">
        <f t="shared" si="1"/>
        <v>7834702929.464791</v>
      </c>
      <c r="N17" s="12">
        <f>+M17/C2</f>
        <v>90679.43205399063</v>
      </c>
      <c r="O17" s="14">
        <f>+N17/D2</f>
        <v>248.26675442571016</v>
      </c>
      <c r="P17" s="16">
        <v>1.29E+22</v>
      </c>
      <c r="Q17" s="15">
        <f>+P17/H2</f>
        <v>5420.16806722689</v>
      </c>
      <c r="R17">
        <f>+G8/K17</f>
        <v>22.491764528996963</v>
      </c>
    </row>
    <row r="18" spans="1:18" ht="18.75">
      <c r="A18" s="12"/>
      <c r="C18" s="12"/>
      <c r="D18" s="12"/>
      <c r="E18" s="12"/>
      <c r="F18" s="15"/>
      <c r="G18" s="12"/>
      <c r="H18" s="12"/>
      <c r="I18" s="14" t="s">
        <v>18</v>
      </c>
      <c r="J18" s="12">
        <v>502.65</v>
      </c>
      <c r="K18" s="20">
        <f>+J18*A2*B2</f>
        <v>472467544734.4776</v>
      </c>
      <c r="L18" s="14">
        <f t="shared" si="0"/>
        <v>1.3299733008646293</v>
      </c>
      <c r="M18" s="12">
        <f>+N18*C2</f>
        <v>354844627200</v>
      </c>
      <c r="N18" s="21">
        <v>4106998</v>
      </c>
      <c r="O18" s="14">
        <f>+N18/D2</f>
        <v>11244.347707049967</v>
      </c>
      <c r="P18" s="16">
        <v>8.357E+20</v>
      </c>
      <c r="Q18" s="15">
        <f>+P18/H2</f>
        <v>351.1344537815126</v>
      </c>
      <c r="R18">
        <f>+G8/K18</f>
        <v>1.768828981012758</v>
      </c>
    </row>
    <row r="19" spans="1:17" ht="18.75">
      <c r="A19" s="12"/>
      <c r="C19" s="12"/>
      <c r="D19" s="12"/>
      <c r="E19" s="12"/>
      <c r="F19" s="14"/>
      <c r="G19" s="12"/>
      <c r="H19" s="12"/>
      <c r="I19" s="14" t="s">
        <v>24</v>
      </c>
      <c r="J19" s="14">
        <f>+K19/A2/B2</f>
        <v>2.437884134670993</v>
      </c>
      <c r="K19" s="12">
        <f>+K8*1000</f>
        <v>2291497327.076774</v>
      </c>
      <c r="L19" s="14">
        <f>+K19/M19</f>
        <v>19.096939764500956</v>
      </c>
      <c r="M19" s="12">
        <f>+N19*C2</f>
        <v>119992907.52000001</v>
      </c>
      <c r="N19" s="12">
        <v>1388.8068</v>
      </c>
      <c r="O19" s="14">
        <f>+N19/D2</f>
        <v>3.802345790554415</v>
      </c>
      <c r="P19" s="12" t="s">
        <v>42</v>
      </c>
      <c r="Q19" s="12" t="s">
        <v>43</v>
      </c>
    </row>
    <row r="20" spans="1:17" ht="18.75">
      <c r="A20" s="22" t="s">
        <v>0</v>
      </c>
      <c r="B20" s="29" t="s">
        <v>3</v>
      </c>
      <c r="C20" s="22" t="s">
        <v>36</v>
      </c>
      <c r="D20" s="22" t="s">
        <v>38</v>
      </c>
      <c r="E20" s="22" t="s">
        <v>4</v>
      </c>
      <c r="F20" s="22" t="s">
        <v>14</v>
      </c>
      <c r="G20" s="22" t="s">
        <v>41</v>
      </c>
      <c r="H20" s="22" t="s">
        <v>15</v>
      </c>
      <c r="I20" s="31" t="s">
        <v>26</v>
      </c>
      <c r="J20" s="31" t="s">
        <v>28</v>
      </c>
      <c r="K20" s="31" t="s">
        <v>29</v>
      </c>
      <c r="L20" s="31" t="s">
        <v>31</v>
      </c>
      <c r="M20" s="31" t="s">
        <v>23</v>
      </c>
      <c r="N20" s="31" t="s">
        <v>16</v>
      </c>
      <c r="O20" s="31" t="s">
        <v>2</v>
      </c>
      <c r="P20" s="31" t="s">
        <v>13</v>
      </c>
      <c r="Q20" s="31" t="s">
        <v>17</v>
      </c>
    </row>
    <row r="21" spans="2:17" ht="18.75">
      <c r="B21" s="23"/>
      <c r="C21" s="27" t="s">
        <v>37</v>
      </c>
      <c r="D21" s="28" t="s">
        <v>39</v>
      </c>
      <c r="E21" s="28"/>
      <c r="F21" s="27" t="s">
        <v>40</v>
      </c>
      <c r="G21" s="27" t="s">
        <v>30</v>
      </c>
      <c r="H21" s="27" t="s">
        <v>22</v>
      </c>
      <c r="I21" s="31" t="s">
        <v>27</v>
      </c>
      <c r="J21" s="31" t="s">
        <v>44</v>
      </c>
      <c r="K21" s="31" t="s">
        <v>30</v>
      </c>
      <c r="L21" s="31" t="s">
        <v>32</v>
      </c>
      <c r="M21" s="32"/>
      <c r="N21" s="32" t="s">
        <v>21</v>
      </c>
      <c r="O21" s="32"/>
      <c r="P21" s="32" t="s">
        <v>20</v>
      </c>
      <c r="Q21" s="32"/>
    </row>
    <row r="22" spans="1:17" ht="18.75">
      <c r="A22" s="2" t="s">
        <v>46</v>
      </c>
      <c r="B22" s="3" t="s">
        <v>48</v>
      </c>
      <c r="C22" s="2">
        <v>43.9</v>
      </c>
      <c r="D22" s="2">
        <f>+G23*H2</f>
        <v>2.616372055833479E+30</v>
      </c>
      <c r="E22" s="2">
        <f>+D22/E2</f>
        <v>1.3154208425507687</v>
      </c>
      <c r="F22" s="2">
        <f>+H2/(L22*G22)</f>
        <v>5.175872643190709</v>
      </c>
      <c r="G22" s="2">
        <f>+G23</f>
        <v>1099315989845.9995</v>
      </c>
      <c r="H22" s="2">
        <f>+G22/A2/B2</f>
        <v>1169.5431537136196</v>
      </c>
      <c r="I22" s="14" t="s">
        <v>25</v>
      </c>
      <c r="J22">
        <f>+G22/B2</f>
        <v>174961164668.6401</v>
      </c>
      <c r="K22">
        <f>+L22*B2</f>
        <v>2628159.4752602787</v>
      </c>
      <c r="L22" s="14">
        <f>SQRT(J22)</f>
        <v>418283.59359248134</v>
      </c>
      <c r="M22" t="s">
        <v>52</v>
      </c>
      <c r="N22" t="s">
        <v>53</v>
      </c>
      <c r="O22" t="s">
        <v>54</v>
      </c>
      <c r="P22" t="s">
        <v>55</v>
      </c>
      <c r="Q22" t="s">
        <v>1</v>
      </c>
    </row>
    <row r="23" spans="1:17" ht="21">
      <c r="A23" s="2" t="s">
        <v>47</v>
      </c>
      <c r="B23" s="1"/>
      <c r="G23" s="6">
        <f>+K23*L23*L23</f>
        <v>1099315989845.9995</v>
      </c>
      <c r="H23" s="2"/>
      <c r="I23" s="2" t="s">
        <v>49</v>
      </c>
      <c r="J23" s="20">
        <v>0.0595</v>
      </c>
      <c r="K23" s="6">
        <f>+A2*B2*J23</f>
        <v>55927223.538648</v>
      </c>
      <c r="L23" s="2">
        <f>+K23/M23</f>
        <v>140.200525881224</v>
      </c>
      <c r="M23" s="6">
        <f>+N23*C2</f>
        <v>398908.8</v>
      </c>
      <c r="N23" s="12">
        <v>4.617</v>
      </c>
      <c r="O23">
        <f>+N23/D2</f>
        <v>0.012640657084188912</v>
      </c>
      <c r="P23">
        <f>+F2*0.687</f>
        <v>1.304613E+27</v>
      </c>
      <c r="Q23" s="2">
        <f>+P23/H2</f>
        <v>548156722.6890756</v>
      </c>
    </row>
    <row r="24" spans="1:17" ht="18.75">
      <c r="A24" s="2"/>
      <c r="B24" s="2"/>
      <c r="F24" s="5"/>
      <c r="G24" s="5">
        <f>+K24*L24*L24</f>
        <v>1099236501306.4993</v>
      </c>
      <c r="H24" s="2"/>
      <c r="I24" s="2" t="s">
        <v>50</v>
      </c>
      <c r="J24" s="16">
        <v>0.8315</v>
      </c>
      <c r="K24" s="8">
        <f>+J24*A2*B2</f>
        <v>781571199.535896</v>
      </c>
      <c r="L24" s="2">
        <f>+K24/M24</f>
        <v>37.502593011004514</v>
      </c>
      <c r="M24" s="6">
        <f>+N24*C2</f>
        <v>20840457.6</v>
      </c>
      <c r="N24" s="12">
        <v>241.209</v>
      </c>
      <c r="O24">
        <f>+N24/D2</f>
        <v>0.660394250513347</v>
      </c>
      <c r="P24">
        <f>+F2/1.97</f>
        <v>9.639593908629442E+26</v>
      </c>
      <c r="Q24" s="2">
        <f>+P24/H2</f>
        <v>405024954.1440942</v>
      </c>
    </row>
    <row r="25" spans="1:17" ht="21">
      <c r="A25" s="2"/>
      <c r="B25" s="2"/>
      <c r="F25" s="5"/>
      <c r="G25" s="6">
        <f>+K25*L25*L25</f>
        <v>1099319987414.1335</v>
      </c>
      <c r="H25" s="1"/>
      <c r="I25" s="2" t="s">
        <v>51</v>
      </c>
      <c r="J25" s="24">
        <v>2.543</v>
      </c>
      <c r="K25" s="6">
        <f>+J25*A2*B2</f>
        <v>2390301335.441712</v>
      </c>
      <c r="L25" s="2">
        <f>+K25/M25</f>
        <v>21.445478214443394</v>
      </c>
      <c r="M25" s="6">
        <f>+N25*C2</f>
        <v>111459456</v>
      </c>
      <c r="N25" s="12">
        <v>1290.04</v>
      </c>
      <c r="O25">
        <f>+N25/D2</f>
        <v>3.5319370294318957</v>
      </c>
      <c r="P25">
        <f>+F2/3.93</f>
        <v>4.83206106870229E+26</v>
      </c>
      <c r="Q25" s="2">
        <f>+P25/H2</f>
        <v>203027775.99589455</v>
      </c>
    </row>
    <row r="26" spans="2:17" ht="18.75">
      <c r="B26" s="2"/>
      <c r="F26" s="5"/>
      <c r="H26" s="2"/>
      <c r="I26" s="2" t="s">
        <v>24</v>
      </c>
      <c r="J26" s="2">
        <f>+K26/A2/B2</f>
        <v>2.796053136267791</v>
      </c>
      <c r="K26" s="6">
        <f>+K22*1000</f>
        <v>2628159475.2602787</v>
      </c>
      <c r="L26" s="2">
        <f>SQRT(P26)</f>
        <v>20.451982632314195</v>
      </c>
      <c r="M26" s="2">
        <f>+K26/L26</f>
        <v>128503897.2753565</v>
      </c>
      <c r="N26">
        <f>+M26/C2</f>
        <v>1487.3136258721818</v>
      </c>
      <c r="O26">
        <f>+N26/D2</f>
        <v>4.072042781306452</v>
      </c>
      <c r="P26">
        <f>+G22/K26</f>
        <v>418.2835935924814</v>
      </c>
      <c r="Q26" t="s">
        <v>56</v>
      </c>
    </row>
    <row r="27" spans="1:17" ht="18.75">
      <c r="A27" s="22" t="s">
        <v>0</v>
      </c>
      <c r="B27" s="22" t="s">
        <v>3</v>
      </c>
      <c r="C27" s="22" t="s">
        <v>36</v>
      </c>
      <c r="D27" s="22" t="s">
        <v>38</v>
      </c>
      <c r="E27" s="22" t="s">
        <v>4</v>
      </c>
      <c r="F27" s="22" t="s">
        <v>14</v>
      </c>
      <c r="G27" s="22" t="s">
        <v>41</v>
      </c>
      <c r="H27" s="22" t="s">
        <v>15</v>
      </c>
      <c r="I27" s="31" t="s">
        <v>26</v>
      </c>
      <c r="J27" s="31" t="s">
        <v>28</v>
      </c>
      <c r="K27" s="31" t="s">
        <v>29</v>
      </c>
      <c r="L27" s="31" t="s">
        <v>31</v>
      </c>
      <c r="M27" s="31" t="s">
        <v>23</v>
      </c>
      <c r="N27" s="31" t="s">
        <v>16</v>
      </c>
      <c r="O27" s="31" t="s">
        <v>2</v>
      </c>
      <c r="P27" s="31" t="s">
        <v>13</v>
      </c>
      <c r="Q27" s="31" t="s">
        <v>17</v>
      </c>
    </row>
    <row r="28" spans="2:17" ht="18.75">
      <c r="B28" s="23"/>
      <c r="C28" s="27" t="s">
        <v>37</v>
      </c>
      <c r="D28" s="28" t="s">
        <v>39</v>
      </c>
      <c r="E28" s="28"/>
      <c r="F28" s="27" t="s">
        <v>40</v>
      </c>
      <c r="G28" s="27" t="s">
        <v>30</v>
      </c>
      <c r="H28" s="27" t="s">
        <v>22</v>
      </c>
      <c r="I28" s="31" t="s">
        <v>27</v>
      </c>
      <c r="J28" s="31" t="s">
        <v>44</v>
      </c>
      <c r="K28" s="31" t="s">
        <v>30</v>
      </c>
      <c r="L28" s="31" t="s">
        <v>32</v>
      </c>
      <c r="M28" s="32"/>
      <c r="N28" s="32" t="s">
        <v>21</v>
      </c>
      <c r="O28" s="32"/>
      <c r="P28" s="32" t="s">
        <v>20</v>
      </c>
      <c r="Q28" s="32"/>
    </row>
    <row r="29" spans="1:17" ht="18.75">
      <c r="A29" s="2" t="s">
        <v>57</v>
      </c>
      <c r="B29" s="2" t="s">
        <v>58</v>
      </c>
      <c r="C29" s="2">
        <v>255.2</v>
      </c>
      <c r="D29" s="2">
        <f>+H2*G29</f>
        <v>2.3821294174049357E+30</v>
      </c>
      <c r="E29" s="2">
        <f>+D29/E2</f>
        <v>1.197651793567087</v>
      </c>
      <c r="F29" s="2">
        <f>+H2/(L29*G29)</f>
        <v>5.9577847177914265</v>
      </c>
      <c r="G29" s="2">
        <f>+K30*L30*L30</f>
        <v>1000894713195.3511</v>
      </c>
      <c r="H29" s="2">
        <f>+G29/B2/A2</f>
        <v>1064.834469995988</v>
      </c>
      <c r="I29" s="2" t="s">
        <v>25</v>
      </c>
      <c r="J29">
        <f>+G29/B2</f>
        <v>159296968613.97873</v>
      </c>
      <c r="K29" s="6">
        <f>+L29*B2</f>
        <v>2507752.3127193064</v>
      </c>
      <c r="L29" s="2">
        <f>SQRT(J29)</f>
        <v>399120.2433026653</v>
      </c>
      <c r="M29" t="s">
        <v>59</v>
      </c>
      <c r="N29" t="s">
        <v>43</v>
      </c>
      <c r="O29" t="s">
        <v>34</v>
      </c>
      <c r="P29" t="s">
        <v>60</v>
      </c>
      <c r="Q29" s="3">
        <f>+P30/H2</f>
        <v>2482264285.714286</v>
      </c>
    </row>
    <row r="30" spans="2:17" ht="18.75">
      <c r="B30" s="2"/>
      <c r="F30" s="5"/>
      <c r="H30" s="2"/>
      <c r="I30" s="2" t="s">
        <v>49</v>
      </c>
      <c r="J30" s="6">
        <v>0.1594</v>
      </c>
      <c r="K30" s="6">
        <f>+J30*A2*B2</f>
        <v>149828561.88336957</v>
      </c>
      <c r="L30" s="2">
        <f>+K30/M30</f>
        <v>81.73289690578832</v>
      </c>
      <c r="M30" s="2">
        <f>+N30*C2</f>
        <v>1833148.7999999998</v>
      </c>
      <c r="N30" s="15">
        <v>21.217</v>
      </c>
      <c r="O30" s="3">
        <f>+N30/D2</f>
        <v>0.05808898015058179</v>
      </c>
      <c r="P30" s="3">
        <f>+F2*3.111</f>
        <v>5.907789E+27</v>
      </c>
      <c r="Q30" t="s">
        <v>33</v>
      </c>
    </row>
    <row r="31" spans="2:17" ht="21">
      <c r="B31" s="1"/>
      <c r="F31" s="5"/>
      <c r="G31" s="7"/>
      <c r="H31" s="2"/>
      <c r="I31" s="2" t="s">
        <v>24</v>
      </c>
      <c r="J31" s="2">
        <f>+K31/A2/B2</f>
        <v>2.6679540511015647</v>
      </c>
      <c r="K31" s="6">
        <f>+K29*1000</f>
        <v>2507752312.7193065</v>
      </c>
      <c r="L31" s="2">
        <f>SQRT(P31)</f>
        <v>19.977993975939256</v>
      </c>
      <c r="M31" s="5">
        <f>+K31/L31</f>
        <v>125525731.74962156</v>
      </c>
      <c r="N31">
        <f>+M31/C2</f>
        <v>1452.8441174724717</v>
      </c>
      <c r="O31" s="3">
        <f>+N31/D2</f>
        <v>3.97767041060225</v>
      </c>
      <c r="P31">
        <f>+G29/K31</f>
        <v>399.12024330266524</v>
      </c>
      <c r="Q31" s="13"/>
    </row>
    <row r="32" spans="1:17" ht="18.75">
      <c r="A32" s="22" t="s">
        <v>0</v>
      </c>
      <c r="B32" s="22" t="s">
        <v>3</v>
      </c>
      <c r="C32" s="22" t="s">
        <v>36</v>
      </c>
      <c r="D32" s="22" t="s">
        <v>38</v>
      </c>
      <c r="E32" s="22" t="s">
        <v>4</v>
      </c>
      <c r="F32" s="22" t="s">
        <v>14</v>
      </c>
      <c r="G32" s="22" t="s">
        <v>41</v>
      </c>
      <c r="H32" s="22" t="s">
        <v>15</v>
      </c>
      <c r="I32" s="31" t="s">
        <v>26</v>
      </c>
      <c r="J32" s="31" t="s">
        <v>28</v>
      </c>
      <c r="K32" s="31" t="s">
        <v>29</v>
      </c>
      <c r="L32" s="31" t="s">
        <v>31</v>
      </c>
      <c r="M32" s="31" t="s">
        <v>23</v>
      </c>
      <c r="N32" s="31" t="s">
        <v>16</v>
      </c>
      <c r="O32" s="31" t="s">
        <v>2</v>
      </c>
      <c r="P32" s="31" t="s">
        <v>13</v>
      </c>
      <c r="Q32" s="31" t="s">
        <v>17</v>
      </c>
    </row>
    <row r="33" spans="2:17" ht="18.75">
      <c r="B33" s="23"/>
      <c r="C33" s="27" t="s">
        <v>37</v>
      </c>
      <c r="D33" s="28" t="s">
        <v>39</v>
      </c>
      <c r="E33" s="28"/>
      <c r="F33" s="27" t="s">
        <v>40</v>
      </c>
      <c r="G33" s="27" t="s">
        <v>30</v>
      </c>
      <c r="H33" s="27" t="s">
        <v>22</v>
      </c>
      <c r="I33" s="31" t="s">
        <v>27</v>
      </c>
      <c r="J33" s="31" t="s">
        <v>44</v>
      </c>
      <c r="K33" s="31" t="s">
        <v>30</v>
      </c>
      <c r="L33" s="31" t="s">
        <v>32</v>
      </c>
      <c r="M33" s="32"/>
      <c r="N33" s="32" t="s">
        <v>21</v>
      </c>
      <c r="O33" s="32"/>
      <c r="P33" s="32" t="s">
        <v>20</v>
      </c>
      <c r="Q33" s="32"/>
    </row>
    <row r="34" spans="1:17" ht="18.75">
      <c r="A34" s="2" t="s">
        <v>61</v>
      </c>
      <c r="B34" s="2" t="s">
        <v>63</v>
      </c>
      <c r="C34" s="2">
        <v>10.5</v>
      </c>
      <c r="D34" s="2">
        <f>+G34*H2</f>
        <v>1.647755757535538E+30</v>
      </c>
      <c r="E34" s="2">
        <f>+D34/E2</f>
        <v>0.8284342672375756</v>
      </c>
      <c r="F34" s="2">
        <f>+H2/(L34*G34)</f>
        <v>10.356036629782402</v>
      </c>
      <c r="G34" s="2">
        <f>+K35*L35*L35</f>
        <v>692334351905.6882</v>
      </c>
      <c r="H34" s="2">
        <f>+G34/A2/B2</f>
        <v>736.5624705099439</v>
      </c>
      <c r="I34" s="2" t="s">
        <v>25</v>
      </c>
      <c r="J34">
        <f>+G34/B2</f>
        <v>110188176710.2254</v>
      </c>
      <c r="K34">
        <f>+L34*B2</f>
        <v>2085683.3891781897</v>
      </c>
      <c r="L34" s="2">
        <f>SQRT(J34)</f>
        <v>331946.0448781178</v>
      </c>
      <c r="M34" t="s">
        <v>64</v>
      </c>
      <c r="N34" t="s">
        <v>55</v>
      </c>
      <c r="O34" t="s">
        <v>65</v>
      </c>
      <c r="P34" t="s">
        <v>66</v>
      </c>
      <c r="Q34" t="s">
        <v>67</v>
      </c>
    </row>
    <row r="35" spans="1:17" ht="18.75">
      <c r="A35" s="2" t="s">
        <v>62</v>
      </c>
      <c r="I35" s="2" t="s">
        <v>49</v>
      </c>
      <c r="J35">
        <v>3.39</v>
      </c>
      <c r="K35">
        <f>+J35*A2*B2</f>
        <v>3186441811.69776</v>
      </c>
      <c r="L35" s="2">
        <f>+K35/M35</f>
        <v>14.740253221949107</v>
      </c>
      <c r="M35">
        <f>+N35*C2</f>
        <v>216172800</v>
      </c>
      <c r="N35">
        <v>2502</v>
      </c>
      <c r="O35">
        <f>+N35/D2</f>
        <v>6.850102669404517</v>
      </c>
      <c r="P35" s="3">
        <f>+F2*1.55</f>
        <v>2.94345E+27</v>
      </c>
      <c r="Q35" s="2">
        <f>+P35/H2</f>
        <v>1236743697.4789915</v>
      </c>
    </row>
    <row r="36" spans="9:17" ht="18.75">
      <c r="I36" s="2" t="s">
        <v>24</v>
      </c>
      <c r="J36" s="2">
        <f>+K36/A2/B2</f>
        <v>2.2189222672630153</v>
      </c>
      <c r="K36" s="6">
        <f>+K34*1000</f>
        <v>2085683389.1781898</v>
      </c>
      <c r="L36" s="2">
        <f>SQRT(P36)</f>
        <v>18.21938651212268</v>
      </c>
      <c r="M36">
        <f>+K36/L36</f>
        <v>114476049.33296922</v>
      </c>
      <c r="N36">
        <f>+M36/C2</f>
        <v>1324.9542746871437</v>
      </c>
      <c r="O36" s="2">
        <f>+N36/D2</f>
        <v>3.6275271038662384</v>
      </c>
      <c r="P36">
        <f>+G34/K36</f>
        <v>331.9460448781178</v>
      </c>
      <c r="Q36" t="s">
        <v>42</v>
      </c>
    </row>
    <row r="37" spans="1:17" ht="18.75">
      <c r="A37" s="22" t="s">
        <v>0</v>
      </c>
      <c r="B37" s="22" t="s">
        <v>3</v>
      </c>
      <c r="C37" s="22" t="s">
        <v>36</v>
      </c>
      <c r="D37" s="22" t="s">
        <v>38</v>
      </c>
      <c r="E37" s="22" t="s">
        <v>4</v>
      </c>
      <c r="F37" s="22" t="s">
        <v>14</v>
      </c>
      <c r="G37" s="22" t="s">
        <v>41</v>
      </c>
      <c r="H37" s="22" t="s">
        <v>15</v>
      </c>
      <c r="I37" s="31" t="s">
        <v>26</v>
      </c>
      <c r="J37" s="31" t="s">
        <v>28</v>
      </c>
      <c r="K37" s="31" t="s">
        <v>29</v>
      </c>
      <c r="L37" s="31" t="s">
        <v>31</v>
      </c>
      <c r="M37" s="31" t="s">
        <v>23</v>
      </c>
      <c r="N37" s="31" t="s">
        <v>16</v>
      </c>
      <c r="O37" s="31" t="s">
        <v>2</v>
      </c>
      <c r="P37" s="31" t="s">
        <v>13</v>
      </c>
      <c r="Q37" s="31" t="s">
        <v>17</v>
      </c>
    </row>
    <row r="38" spans="2:17" ht="18.75">
      <c r="B38" s="23"/>
      <c r="C38" s="27" t="s">
        <v>37</v>
      </c>
      <c r="D38" s="28" t="s">
        <v>39</v>
      </c>
      <c r="E38" s="28"/>
      <c r="F38" s="27" t="s">
        <v>40</v>
      </c>
      <c r="G38" s="27" t="s">
        <v>30</v>
      </c>
      <c r="H38" s="27" t="s">
        <v>22</v>
      </c>
      <c r="I38" s="31" t="s">
        <v>27</v>
      </c>
      <c r="J38" s="31" t="s">
        <v>44</v>
      </c>
      <c r="K38" s="31" t="s">
        <v>30</v>
      </c>
      <c r="L38" s="31" t="s">
        <v>32</v>
      </c>
      <c r="M38" s="32"/>
      <c r="N38" s="32" t="s">
        <v>21</v>
      </c>
      <c r="O38" s="32"/>
      <c r="P38" s="32" t="s">
        <v>20</v>
      </c>
      <c r="Q38" s="32"/>
    </row>
    <row r="39" spans="1:17" ht="21">
      <c r="A39" s="1" t="s">
        <v>68</v>
      </c>
      <c r="B39" s="2" t="s">
        <v>69</v>
      </c>
      <c r="C39" s="2">
        <v>486</v>
      </c>
      <c r="D39" s="2">
        <f>+G39*H2</f>
        <v>1.9441885518917053E+30</v>
      </c>
      <c r="E39" s="2">
        <f>+D39/E2</f>
        <v>0.9774703629420339</v>
      </c>
      <c r="F39" s="2">
        <f>+H2/(L39*G39)</f>
        <v>8.080258641087045</v>
      </c>
      <c r="G39" s="2">
        <f>+K40*L40*L40</f>
        <v>816885946172.9855</v>
      </c>
      <c r="H39" s="2">
        <f>+G39/A2/B2</f>
        <v>869.0707444775046</v>
      </c>
      <c r="I39" s="2" t="s">
        <v>25</v>
      </c>
      <c r="J39">
        <f>+G39/B2</f>
        <v>130011132253.14896</v>
      </c>
      <c r="K39">
        <f>+L39*B2</f>
        <v>2265536.9732127753</v>
      </c>
      <c r="L39" s="2">
        <f>SQRT(J39)</f>
        <v>360570.56487343635</v>
      </c>
      <c r="M39" t="s">
        <v>55</v>
      </c>
      <c r="N39" t="s">
        <v>43</v>
      </c>
      <c r="O39" t="s">
        <v>1</v>
      </c>
      <c r="P39" t="s">
        <v>71</v>
      </c>
      <c r="Q39" t="s">
        <v>72</v>
      </c>
    </row>
    <row r="40" spans="7:17" ht="18.75">
      <c r="G40" s="2"/>
      <c r="I40" s="2" t="s">
        <v>70</v>
      </c>
      <c r="J40">
        <v>0.0369</v>
      </c>
      <c r="K40">
        <f>+J40*A2*B2</f>
        <v>34684278.127329595</v>
      </c>
      <c r="L40" s="2">
        <f>+K40/M40</f>
        <v>153.46678043103444</v>
      </c>
      <c r="M40">
        <f>+N40*C2</f>
        <v>226005.12000000002</v>
      </c>
      <c r="N40">
        <v>2.6158</v>
      </c>
      <c r="O40" s="3">
        <f>+N40/D2</f>
        <v>0.007161670088980151</v>
      </c>
      <c r="P40" s="3">
        <f>+F2*0.57</f>
        <v>1.0824299999999999E+27</v>
      </c>
      <c r="Q40" s="2">
        <f>+P40/H2</f>
        <v>454802521.0084033</v>
      </c>
    </row>
    <row r="41" spans="9:17" ht="18.75">
      <c r="I41" s="2" t="s">
        <v>24</v>
      </c>
      <c r="J41" s="2">
        <f>+K41/A2/B2</f>
        <v>2.410265365900172</v>
      </c>
      <c r="K41">
        <f>+K39*1000</f>
        <v>2265536973.212775</v>
      </c>
      <c r="L41" s="2">
        <f>SQRT(P41)</f>
        <v>18.98869571280335</v>
      </c>
      <c r="M41">
        <f>+K41/L41</f>
        <v>119309772.90268603</v>
      </c>
      <c r="N41">
        <f>+M41/C2</f>
        <v>1380.9001493366438</v>
      </c>
      <c r="O41" s="2">
        <f>+N41/D2</f>
        <v>3.7806985608121666</v>
      </c>
      <c r="P41">
        <f>+G39/K41</f>
        <v>360.5705648734363</v>
      </c>
      <c r="Q41" t="s">
        <v>73</v>
      </c>
    </row>
    <row r="42" spans="1:17" ht="18.75">
      <c r="A42" s="22" t="s">
        <v>0</v>
      </c>
      <c r="B42" s="22" t="s">
        <v>3</v>
      </c>
      <c r="C42" s="22" t="s">
        <v>36</v>
      </c>
      <c r="D42" s="22" t="s">
        <v>38</v>
      </c>
      <c r="E42" s="22" t="s">
        <v>4</v>
      </c>
      <c r="F42" s="22" t="s">
        <v>14</v>
      </c>
      <c r="G42" s="22" t="s">
        <v>41</v>
      </c>
      <c r="H42" s="22" t="s">
        <v>15</v>
      </c>
      <c r="I42" s="31" t="s">
        <v>26</v>
      </c>
      <c r="J42" s="31" t="s">
        <v>28</v>
      </c>
      <c r="K42" s="31" t="s">
        <v>29</v>
      </c>
      <c r="L42" s="31" t="s">
        <v>31</v>
      </c>
      <c r="M42" s="31" t="s">
        <v>23</v>
      </c>
      <c r="N42" s="31" t="s">
        <v>16</v>
      </c>
      <c r="O42" s="31" t="s">
        <v>2</v>
      </c>
      <c r="P42" s="31" t="s">
        <v>13</v>
      </c>
      <c r="Q42" s="31" t="s">
        <v>17</v>
      </c>
    </row>
    <row r="43" spans="2:17" ht="18.75">
      <c r="B43" s="23"/>
      <c r="C43" s="27" t="s">
        <v>37</v>
      </c>
      <c r="D43" s="28" t="s">
        <v>39</v>
      </c>
      <c r="E43" s="28"/>
      <c r="F43" s="27" t="s">
        <v>40</v>
      </c>
      <c r="G43" s="27" t="s">
        <v>30</v>
      </c>
      <c r="H43" s="27" t="s">
        <v>22</v>
      </c>
      <c r="I43" s="31" t="s">
        <v>27</v>
      </c>
      <c r="J43" s="31" t="s">
        <v>44</v>
      </c>
      <c r="K43" s="31" t="s">
        <v>30</v>
      </c>
      <c r="L43" s="31" t="s">
        <v>32</v>
      </c>
      <c r="M43" s="32"/>
      <c r="N43" s="32" t="s">
        <v>21</v>
      </c>
      <c r="O43" s="32"/>
      <c r="P43" s="32" t="s">
        <v>20</v>
      </c>
      <c r="Q43" s="33"/>
    </row>
    <row r="44" spans="1:17" ht="18.75">
      <c r="A44" s="2" t="s">
        <v>83</v>
      </c>
      <c r="B44" s="3" t="s">
        <v>85</v>
      </c>
      <c r="C44" s="2">
        <v>5300</v>
      </c>
      <c r="D44" s="2">
        <f>+G44*H2</f>
        <v>2.5973766441645595E+30</v>
      </c>
      <c r="E44" s="2">
        <f>+D44/E2</f>
        <v>1.3058706104396982</v>
      </c>
      <c r="F44" s="2">
        <f>+H2/(L44*G44)</f>
        <v>5.232755442859579</v>
      </c>
      <c r="G44" s="2">
        <f>+K45*L45*L45</f>
        <v>1091334724438.8905</v>
      </c>
      <c r="H44" s="2">
        <f>+G44/A2/B2</f>
        <v>1161.052024319456</v>
      </c>
      <c r="I44" s="2" t="s">
        <v>25</v>
      </c>
      <c r="J44">
        <f>+G44/B2</f>
        <v>173690909797.3788</v>
      </c>
      <c r="K44">
        <f>+L44*B2</f>
        <v>2618601.6002046657</v>
      </c>
      <c r="L44" s="2">
        <f>SQRT(J44)</f>
        <v>416762.4140891052</v>
      </c>
      <c r="M44" t="s">
        <v>53</v>
      </c>
      <c r="N44" t="s">
        <v>55</v>
      </c>
      <c r="O44" t="s">
        <v>42</v>
      </c>
      <c r="P44" t="s">
        <v>56</v>
      </c>
      <c r="Q44" t="s">
        <v>59</v>
      </c>
    </row>
    <row r="45" spans="1:17" ht="18.75">
      <c r="A45" s="2">
        <v>211</v>
      </c>
      <c r="I45" s="2" t="s">
        <v>49</v>
      </c>
      <c r="J45">
        <v>0.051</v>
      </c>
      <c r="K45">
        <f>+J45*A2*B2</f>
        <v>47937620.175983995</v>
      </c>
      <c r="L45" s="2">
        <f>+K45/M45</f>
        <v>150.88315335731872</v>
      </c>
      <c r="M45">
        <f>+N45*C2</f>
        <v>317713.53599999996</v>
      </c>
      <c r="N45">
        <v>3.67724</v>
      </c>
      <c r="O45">
        <f>+N45/D2</f>
        <v>0.010067734428473647</v>
      </c>
      <c r="P45" s="3">
        <f>+F2*1.03</f>
        <v>1.95597E+27</v>
      </c>
      <c r="Q45" s="2">
        <f>+P45/H2</f>
        <v>821836134.4537815</v>
      </c>
    </row>
    <row r="46" spans="9:17" ht="18.75">
      <c r="I46" s="2" t="s">
        <v>24</v>
      </c>
      <c r="J46" s="2">
        <f>+K46/A2/B2</f>
        <v>2.785884679301284</v>
      </c>
      <c r="K46">
        <f>+K44*1000</f>
        <v>2618601600.2046657</v>
      </c>
      <c r="L46" s="2">
        <f>SQRT(P46)</f>
        <v>20.414759711765047</v>
      </c>
      <c r="M46">
        <f>+K46/L46</f>
        <v>128270018.2209621</v>
      </c>
      <c r="N46">
        <f>+M46/C2</f>
        <v>1484.6066923722467</v>
      </c>
      <c r="O46" s="2">
        <f>+N46/D2</f>
        <v>4.064631601292941</v>
      </c>
      <c r="P46">
        <f>+G44/K46</f>
        <v>416.7624140891053</v>
      </c>
      <c r="Q46" t="s">
        <v>84</v>
      </c>
    </row>
    <row r="47" spans="1:17" ht="18.75">
      <c r="A47" s="22" t="s">
        <v>0</v>
      </c>
      <c r="B47" s="22" t="s">
        <v>3</v>
      </c>
      <c r="C47" s="22" t="s">
        <v>36</v>
      </c>
      <c r="D47" s="22" t="s">
        <v>38</v>
      </c>
      <c r="E47" s="22" t="s">
        <v>4</v>
      </c>
      <c r="F47" s="22" t="s">
        <v>14</v>
      </c>
      <c r="G47" s="22" t="s">
        <v>41</v>
      </c>
      <c r="H47" s="22" t="s">
        <v>15</v>
      </c>
      <c r="I47" s="31" t="s">
        <v>26</v>
      </c>
      <c r="J47" s="31" t="s">
        <v>28</v>
      </c>
      <c r="K47" s="31" t="s">
        <v>29</v>
      </c>
      <c r="L47" s="31" t="s">
        <v>31</v>
      </c>
      <c r="M47" s="31" t="s">
        <v>23</v>
      </c>
      <c r="N47" s="31" t="s">
        <v>16</v>
      </c>
      <c r="O47" s="31" t="s">
        <v>2</v>
      </c>
      <c r="P47" s="31" t="s">
        <v>13</v>
      </c>
      <c r="Q47" s="31" t="s">
        <v>17</v>
      </c>
    </row>
    <row r="48" spans="2:17" ht="18.75">
      <c r="B48" s="23"/>
      <c r="C48" s="27" t="s">
        <v>37</v>
      </c>
      <c r="D48" s="28" t="s">
        <v>39</v>
      </c>
      <c r="E48" s="28"/>
      <c r="F48" s="27" t="s">
        <v>40</v>
      </c>
      <c r="G48" s="27" t="s">
        <v>30</v>
      </c>
      <c r="H48" s="27" t="s">
        <v>22</v>
      </c>
      <c r="I48" s="31" t="s">
        <v>27</v>
      </c>
      <c r="J48" s="31" t="s">
        <v>44</v>
      </c>
      <c r="K48" s="31" t="s">
        <v>30</v>
      </c>
      <c r="L48" s="31" t="s">
        <v>32</v>
      </c>
      <c r="M48" s="32"/>
      <c r="N48" s="32" t="s">
        <v>21</v>
      </c>
      <c r="O48" s="32"/>
      <c r="P48" s="32" t="s">
        <v>20</v>
      </c>
      <c r="Q48" s="33"/>
    </row>
    <row r="49" spans="1:17" ht="18.75">
      <c r="A49" s="2" t="s">
        <v>86</v>
      </c>
      <c r="B49" s="2" t="s">
        <v>85</v>
      </c>
      <c r="C49" s="2">
        <v>4892</v>
      </c>
      <c r="D49" s="2">
        <f>+H2*G49</f>
        <v>2.656605511022934E+30</v>
      </c>
      <c r="E49" s="2">
        <f>+D49/E2</f>
        <v>1.3356488240437074</v>
      </c>
      <c r="F49" s="2">
        <f>+H2/(L49*G49)</f>
        <v>5.05873850730753</v>
      </c>
      <c r="G49" s="2">
        <f>+K50*L50*L50</f>
        <v>1116220802950.8125</v>
      </c>
      <c r="H49" s="2">
        <f>+G49/A2/B2</f>
        <v>1187.5278902353837</v>
      </c>
      <c r="I49" s="2" t="s">
        <v>25</v>
      </c>
      <c r="J49">
        <f>+G49/B2</f>
        <v>177651642944.8072</v>
      </c>
      <c r="K49">
        <f>+L49*B2</f>
        <v>2648289.7403986114</v>
      </c>
      <c r="L49" s="2">
        <f>SQRT(J49)</f>
        <v>421487.41730306396</v>
      </c>
      <c r="M49" t="s">
        <v>53</v>
      </c>
      <c r="N49" t="s">
        <v>55</v>
      </c>
      <c r="O49" t="s">
        <v>87</v>
      </c>
      <c r="P49" t="s">
        <v>42</v>
      </c>
      <c r="Q49" t="s">
        <v>67</v>
      </c>
    </row>
    <row r="50" spans="9:17" ht="18.75">
      <c r="I50" s="2" t="s">
        <v>49</v>
      </c>
      <c r="J50">
        <v>0.0306</v>
      </c>
      <c r="K50">
        <f>+J50*A2*B2</f>
        <v>28762572.1055904</v>
      </c>
      <c r="L50" s="2">
        <f>+K50/M50</f>
        <v>196.99771823065473</v>
      </c>
      <c r="M50">
        <f>+N50*C2</f>
        <v>146004.59519999998</v>
      </c>
      <c r="N50">
        <v>1.689868</v>
      </c>
      <c r="O50">
        <f>+N50/D2</f>
        <v>0.00462660643394935</v>
      </c>
      <c r="P50">
        <f>+F2*1.14</f>
        <v>2.1648599999999998E+27</v>
      </c>
      <c r="Q50" s="2">
        <f>+P50/H2</f>
        <v>909605042.0168066</v>
      </c>
    </row>
    <row r="51" spans="9:17" ht="18.75">
      <c r="I51" s="2" t="s">
        <v>24</v>
      </c>
      <c r="J51" s="2">
        <f>+K51/A2/B2</f>
        <v>2.8174693750857815</v>
      </c>
      <c r="K51">
        <f>+K49*1000</f>
        <v>2648289740.3986115</v>
      </c>
      <c r="L51" s="2">
        <f>SQRT(P51)</f>
        <v>20.530158725715296</v>
      </c>
      <c r="M51">
        <f>+K51/L51</f>
        <v>128995093.30541436</v>
      </c>
      <c r="N51">
        <f>+M51/C2</f>
        <v>1492.9987651089625</v>
      </c>
      <c r="O51">
        <f>+N51/D2</f>
        <v>4.087607844240829</v>
      </c>
      <c r="P51">
        <f>+G49/K51</f>
        <v>421.487417303064</v>
      </c>
      <c r="Q51" t="s">
        <v>88</v>
      </c>
    </row>
    <row r="52" spans="1:17" ht="18.75">
      <c r="A52" s="22" t="s">
        <v>0</v>
      </c>
      <c r="B52" s="22" t="s">
        <v>3</v>
      </c>
      <c r="C52" s="22" t="s">
        <v>36</v>
      </c>
      <c r="D52" s="22" t="s">
        <v>38</v>
      </c>
      <c r="E52" s="22" t="s">
        <v>4</v>
      </c>
      <c r="F52" s="22" t="s">
        <v>14</v>
      </c>
      <c r="G52" s="22" t="s">
        <v>41</v>
      </c>
      <c r="H52" s="22" t="s">
        <v>15</v>
      </c>
      <c r="I52" s="31" t="s">
        <v>26</v>
      </c>
      <c r="J52" s="31" t="s">
        <v>28</v>
      </c>
      <c r="K52" s="31" t="s">
        <v>29</v>
      </c>
      <c r="L52" s="31" t="s">
        <v>31</v>
      </c>
      <c r="M52" s="31" t="s">
        <v>23</v>
      </c>
      <c r="N52" s="31" t="s">
        <v>16</v>
      </c>
      <c r="O52" s="31" t="s">
        <v>2</v>
      </c>
      <c r="P52" s="31" t="s">
        <v>13</v>
      </c>
      <c r="Q52" s="31" t="s">
        <v>17</v>
      </c>
    </row>
    <row r="53" spans="2:17" ht="18.75">
      <c r="B53" s="23"/>
      <c r="C53" s="27" t="s">
        <v>37</v>
      </c>
      <c r="D53" s="28" t="s">
        <v>39</v>
      </c>
      <c r="E53" s="28"/>
      <c r="F53" s="27" t="s">
        <v>40</v>
      </c>
      <c r="G53" s="27" t="s">
        <v>30</v>
      </c>
      <c r="H53" s="27" t="s">
        <v>22</v>
      </c>
      <c r="I53" s="31" t="s">
        <v>27</v>
      </c>
      <c r="J53" s="31" t="s">
        <v>44</v>
      </c>
      <c r="K53" s="31" t="s">
        <v>30</v>
      </c>
      <c r="L53" s="31" t="s">
        <v>32</v>
      </c>
      <c r="M53" s="32"/>
      <c r="N53" s="32" t="s">
        <v>21</v>
      </c>
      <c r="O53" s="32"/>
      <c r="P53" s="32" t="s">
        <v>20</v>
      </c>
      <c r="Q53" s="33"/>
    </row>
    <row r="54" spans="1:17" ht="18.75">
      <c r="A54" s="2" t="s">
        <v>89</v>
      </c>
      <c r="B54" s="2" t="s">
        <v>85</v>
      </c>
      <c r="C54" s="2">
        <v>5000</v>
      </c>
      <c r="D54" s="2">
        <f>+H2*G54</f>
        <v>1.549531017063813E+30</v>
      </c>
      <c r="E54" s="2">
        <f>+D54/E2</f>
        <v>0.7790502850999563</v>
      </c>
      <c r="F54" s="2">
        <f>+H2/(L54*G54)</f>
        <v>11.356184079427937</v>
      </c>
      <c r="G54" s="2">
        <f>+K55*L55*L55</f>
        <v>651063452547.8206</v>
      </c>
      <c r="H54" s="2">
        <f>+G54/A2/B2</f>
        <v>692.6550787886974</v>
      </c>
      <c r="I54" s="2" t="s">
        <v>25</v>
      </c>
      <c r="J54">
        <f>+G54/B2</f>
        <v>103619724431.47131</v>
      </c>
      <c r="K54">
        <f>+L54*B2</f>
        <v>2022563.1967996615</v>
      </c>
      <c r="L54" s="2">
        <f>SQRT(J54)</f>
        <v>321900.17774377094</v>
      </c>
      <c r="M54" t="s">
        <v>43</v>
      </c>
      <c r="N54" t="s">
        <v>1</v>
      </c>
      <c r="O54" t="s">
        <v>67</v>
      </c>
      <c r="P54" t="s">
        <v>66</v>
      </c>
      <c r="Q54" t="s">
        <v>84</v>
      </c>
    </row>
    <row r="55" spans="9:17" ht="18.75">
      <c r="I55" s="2" t="s">
        <v>49</v>
      </c>
      <c r="J55">
        <v>0.0229</v>
      </c>
      <c r="K55">
        <f>+J55*A2*B2</f>
        <v>21524931.4123536</v>
      </c>
      <c r="L55" s="2">
        <f>+K55/M55</f>
        <v>173.91649338689967</v>
      </c>
      <c r="M55">
        <f>+N55*C2</f>
        <v>123765.90048</v>
      </c>
      <c r="N55">
        <v>1.4324757</v>
      </c>
      <c r="O55">
        <f>+N55/D2</f>
        <v>0.003921904722792607</v>
      </c>
      <c r="P55">
        <f>+F2*1.32</f>
        <v>2.50668E+27</v>
      </c>
      <c r="Q55" s="3">
        <f>+P55/H2</f>
        <v>1053226890.7563026</v>
      </c>
    </row>
    <row r="56" spans="9:17" ht="18.75">
      <c r="I56" s="2" t="s">
        <v>24</v>
      </c>
      <c r="J56" s="2">
        <f>+K56/A2/B2</f>
        <v>2.1517697928705197</v>
      </c>
      <c r="K56">
        <f>+K54*1000</f>
        <v>2022563196.7996614</v>
      </c>
      <c r="L56" s="2">
        <f>SQRT(P56)</f>
        <v>17.94157679090026</v>
      </c>
      <c r="M56">
        <f>+K56/L56</f>
        <v>112730515.29258452</v>
      </c>
      <c r="N56">
        <f>+M56/C2</f>
        <v>1304.7513344049135</v>
      </c>
      <c r="O56" s="3">
        <f>+N56/D2</f>
        <v>3.572214467912152</v>
      </c>
      <c r="P56">
        <f>+G54/K56</f>
        <v>321.90017774377094</v>
      </c>
      <c r="Q56" t="s">
        <v>1</v>
      </c>
    </row>
    <row r="57" spans="1:17" ht="18.75">
      <c r="A57" s="22" t="s">
        <v>0</v>
      </c>
      <c r="B57" s="22" t="s">
        <v>3</v>
      </c>
      <c r="C57" s="22" t="s">
        <v>36</v>
      </c>
      <c r="D57" s="22" t="s">
        <v>38</v>
      </c>
      <c r="E57" s="22" t="s">
        <v>4</v>
      </c>
      <c r="F57" s="22" t="s">
        <v>14</v>
      </c>
      <c r="G57" s="22" t="s">
        <v>41</v>
      </c>
      <c r="H57" s="22" t="s">
        <v>15</v>
      </c>
      <c r="I57" s="31" t="s">
        <v>26</v>
      </c>
      <c r="J57" s="31" t="s">
        <v>28</v>
      </c>
      <c r="K57" s="31" t="s">
        <v>29</v>
      </c>
      <c r="L57" s="31" t="s">
        <v>31</v>
      </c>
      <c r="M57" s="31" t="s">
        <v>23</v>
      </c>
      <c r="N57" s="31" t="s">
        <v>16</v>
      </c>
      <c r="O57" s="31" t="s">
        <v>2</v>
      </c>
      <c r="P57" s="31" t="s">
        <v>13</v>
      </c>
      <c r="Q57" s="31" t="s">
        <v>17</v>
      </c>
    </row>
    <row r="58" spans="2:17" ht="18.75">
      <c r="B58" s="23"/>
      <c r="C58" s="27" t="s">
        <v>37</v>
      </c>
      <c r="D58" s="28" t="s">
        <v>39</v>
      </c>
      <c r="E58" s="28"/>
      <c r="F58" s="27" t="s">
        <v>40</v>
      </c>
      <c r="G58" s="27" t="s">
        <v>30</v>
      </c>
      <c r="H58" s="27" t="s">
        <v>22</v>
      </c>
      <c r="I58" s="31" t="s">
        <v>27</v>
      </c>
      <c r="J58" s="31" t="s">
        <v>44</v>
      </c>
      <c r="K58" s="31" t="s">
        <v>30</v>
      </c>
      <c r="L58" s="31" t="s">
        <v>32</v>
      </c>
      <c r="M58" s="32"/>
      <c r="N58" s="32" t="s">
        <v>21</v>
      </c>
      <c r="O58" s="32"/>
      <c r="P58" s="32" t="s">
        <v>20</v>
      </c>
      <c r="Q58" s="33"/>
    </row>
    <row r="59" spans="1:17" ht="18.75">
      <c r="A59" s="2" t="s">
        <v>90</v>
      </c>
      <c r="B59" s="2" t="s">
        <v>85</v>
      </c>
      <c r="C59" s="2">
        <v>5000</v>
      </c>
      <c r="D59" s="2">
        <f>+G59*H2</f>
        <v>1.704411749769784E+30</v>
      </c>
      <c r="E59" s="2">
        <f>+D59/E2</f>
        <v>0.856918928994361</v>
      </c>
      <c r="F59" s="2">
        <f>+H2/(L59*G59)</f>
        <v>9.843987542335825</v>
      </c>
      <c r="G59" s="2">
        <f>+K60*L60*L60</f>
        <v>716139390659.5731</v>
      </c>
      <c r="H59" s="2">
        <f>+G59/A2/B2</f>
        <v>761.8882370371764</v>
      </c>
      <c r="I59" s="2" t="s">
        <v>25</v>
      </c>
      <c r="J59">
        <f>+G59/B2</f>
        <v>113976857438.81671</v>
      </c>
      <c r="K59">
        <f>+L59*B2</f>
        <v>2121237.1436009295</v>
      </c>
      <c r="L59" s="2">
        <f>SQRT(J59)</f>
        <v>337604.58740783826</v>
      </c>
      <c r="M59" t="s">
        <v>91</v>
      </c>
      <c r="N59" t="s">
        <v>91</v>
      </c>
      <c r="O59" t="s">
        <v>65</v>
      </c>
      <c r="P59" t="s">
        <v>60</v>
      </c>
      <c r="Q59" t="s">
        <v>65</v>
      </c>
    </row>
    <row r="60" spans="9:17" ht="18.75">
      <c r="I60" s="2" t="s">
        <v>49</v>
      </c>
      <c r="J60">
        <v>0.047</v>
      </c>
      <c r="K60">
        <f>+J60*A2*B2</f>
        <v>44177806.828848</v>
      </c>
      <c r="L60" s="2">
        <f>+K60/M60</f>
        <v>127.32002207849158</v>
      </c>
      <c r="M60">
        <f>+N60*C2</f>
        <v>346982.4</v>
      </c>
      <c r="N60">
        <v>4.016</v>
      </c>
      <c r="O60">
        <f>+N60/D2</f>
        <v>0.010995208761122519</v>
      </c>
      <c r="P60">
        <f>+F2*0.53</f>
        <v>1.00647E+27</v>
      </c>
      <c r="Q60" s="2">
        <f>+P60/H2</f>
        <v>422886554.62184876</v>
      </c>
    </row>
    <row r="61" spans="9:17" ht="18.75">
      <c r="I61" s="2" t="s">
        <v>24</v>
      </c>
      <c r="J61" s="2">
        <f>+K61/A2/B2</f>
        <v>2.2567472879649846</v>
      </c>
      <c r="K61">
        <f>+K59*1000</f>
        <v>2121237143.6009295</v>
      </c>
      <c r="L61" s="2">
        <f>SQRT(P61)</f>
        <v>18.374019359079774</v>
      </c>
      <c r="M61">
        <f>+K61/L61</f>
        <v>115447638.43697003</v>
      </c>
      <c r="N61">
        <f>+M61/C2</f>
        <v>1336.1995189464124</v>
      </c>
      <c r="O61" s="7">
        <f>+N61/D2</f>
        <v>3.65831490471297</v>
      </c>
      <c r="P61">
        <f>+G59/K61</f>
        <v>337.60458740783827</v>
      </c>
      <c r="Q61" t="s">
        <v>65</v>
      </c>
    </row>
    <row r="62" spans="1:17" ht="18.75">
      <c r="A62" s="22" t="s">
        <v>0</v>
      </c>
      <c r="B62" s="22" t="s">
        <v>3</v>
      </c>
      <c r="C62" s="22" t="s">
        <v>36</v>
      </c>
      <c r="D62" s="22" t="s">
        <v>38</v>
      </c>
      <c r="E62" s="22" t="s">
        <v>4</v>
      </c>
      <c r="F62" s="22" t="s">
        <v>14</v>
      </c>
      <c r="G62" s="22" t="s">
        <v>41</v>
      </c>
      <c r="H62" s="22" t="s">
        <v>15</v>
      </c>
      <c r="I62" s="31" t="s">
        <v>26</v>
      </c>
      <c r="J62" s="31" t="s">
        <v>28</v>
      </c>
      <c r="K62" s="31" t="s">
        <v>29</v>
      </c>
      <c r="L62" s="31" t="s">
        <v>31</v>
      </c>
      <c r="M62" s="31" t="s">
        <v>23</v>
      </c>
      <c r="N62" s="31" t="s">
        <v>16</v>
      </c>
      <c r="O62" s="31" t="s">
        <v>2</v>
      </c>
      <c r="P62" s="31" t="s">
        <v>13</v>
      </c>
      <c r="Q62" s="31" t="s">
        <v>17</v>
      </c>
    </row>
    <row r="63" spans="2:17" ht="18.75">
      <c r="B63" s="23"/>
      <c r="C63" s="27" t="s">
        <v>37</v>
      </c>
      <c r="D63" s="28" t="s">
        <v>39</v>
      </c>
      <c r="E63" s="28"/>
      <c r="F63" s="27" t="s">
        <v>40</v>
      </c>
      <c r="G63" s="27" t="s">
        <v>30</v>
      </c>
      <c r="H63" s="27" t="s">
        <v>22</v>
      </c>
      <c r="I63" s="31" t="s">
        <v>27</v>
      </c>
      <c r="J63" s="31" t="s">
        <v>44</v>
      </c>
      <c r="K63" s="31" t="s">
        <v>30</v>
      </c>
      <c r="L63" s="31" t="s">
        <v>32</v>
      </c>
      <c r="M63" s="32"/>
      <c r="N63" s="32" t="s">
        <v>21</v>
      </c>
      <c r="O63" s="32"/>
      <c r="P63" s="32" t="s">
        <v>20</v>
      </c>
      <c r="Q63" s="33"/>
    </row>
    <row r="64" spans="1:17" ht="18.75">
      <c r="A64" s="3" t="s">
        <v>92</v>
      </c>
      <c r="B64" s="2" t="s">
        <v>85</v>
      </c>
      <c r="C64" s="2">
        <v>5200</v>
      </c>
      <c r="D64" s="2">
        <f>+G64*H2</f>
        <v>2.2182432817103524E+30</v>
      </c>
      <c r="E64" s="2">
        <f>+D64/E2</f>
        <v>1.1152555463601572</v>
      </c>
      <c r="F64" s="2">
        <f>+H2/(L64*G64)</f>
        <v>6.630084634508825</v>
      </c>
      <c r="G64" s="2">
        <f>+K65*L65*L65</f>
        <v>932034992315.2742</v>
      </c>
      <c r="H64" s="2">
        <f>+G64/A2/B2</f>
        <v>991.5758110973701</v>
      </c>
      <c r="I64" s="2" t="s">
        <v>25</v>
      </c>
      <c r="J64">
        <f>+G64/B2</f>
        <v>148337629283.6889</v>
      </c>
      <c r="K64">
        <f>+L64*B2</f>
        <v>2419950.880434421</v>
      </c>
      <c r="L64" s="2">
        <f>SQRT(J64)</f>
        <v>385146.2440212664</v>
      </c>
      <c r="M64" t="s">
        <v>64</v>
      </c>
      <c r="N64" t="s">
        <v>84</v>
      </c>
      <c r="O64" t="s">
        <v>87</v>
      </c>
      <c r="P64" t="s">
        <v>93</v>
      </c>
      <c r="Q64" t="s">
        <v>1</v>
      </c>
    </row>
    <row r="65" spans="9:17" ht="18.75">
      <c r="I65" s="2" t="s">
        <v>49</v>
      </c>
      <c r="J65">
        <v>0.051</v>
      </c>
      <c r="K65">
        <f>+J65*A2*B2</f>
        <v>47937620.175983995</v>
      </c>
      <c r="L65" s="2">
        <f>+K65/M65</f>
        <v>139.43694977549362</v>
      </c>
      <c r="M65">
        <f>+N65*C2</f>
        <v>343794.24</v>
      </c>
      <c r="N65">
        <v>3.9791</v>
      </c>
      <c r="O65">
        <f>+N65/D2</f>
        <v>0.010894182067077344</v>
      </c>
      <c r="P65">
        <f>+F2*1.01</f>
        <v>1.91799E+27</v>
      </c>
      <c r="Q65" s="2">
        <f>+P65/H2</f>
        <v>805878151.2605042</v>
      </c>
    </row>
    <row r="66" spans="9:17" ht="18.75">
      <c r="I66" s="2" t="s">
        <v>24</v>
      </c>
      <c r="J66" s="2">
        <f>+K66/A2/B2</f>
        <v>2.5745436350214503</v>
      </c>
      <c r="K66">
        <f>+K64*1000</f>
        <v>2419950880.434421</v>
      </c>
      <c r="L66" s="2">
        <f>SQRT(P66)</f>
        <v>19.625143159255334</v>
      </c>
      <c r="M66">
        <f>+K66/L66</f>
        <v>123308699.49823311</v>
      </c>
      <c r="N66">
        <f>+M66/C2</f>
        <v>1427.1840219702906</v>
      </c>
      <c r="O66">
        <f>+N66/D2</f>
        <v>3.907416897933718</v>
      </c>
      <c r="P66">
        <f>+G64/K66</f>
        <v>385.14624402126645</v>
      </c>
      <c r="Q66" t="s">
        <v>88</v>
      </c>
    </row>
    <row r="67" spans="1:17" ht="18.75">
      <c r="A67" s="22" t="s">
        <v>0</v>
      </c>
      <c r="B67" s="22" t="s">
        <v>3</v>
      </c>
      <c r="C67" s="22" t="s">
        <v>36</v>
      </c>
      <c r="D67" s="22" t="s">
        <v>38</v>
      </c>
      <c r="E67" s="22" t="s">
        <v>4</v>
      </c>
      <c r="F67" s="22" t="s">
        <v>14</v>
      </c>
      <c r="G67" s="22" t="s">
        <v>41</v>
      </c>
      <c r="H67" s="22" t="s">
        <v>15</v>
      </c>
      <c r="I67" s="31" t="s">
        <v>26</v>
      </c>
      <c r="J67" s="31" t="s">
        <v>28</v>
      </c>
      <c r="K67" s="31" t="s">
        <v>29</v>
      </c>
      <c r="L67" s="31" t="s">
        <v>31</v>
      </c>
      <c r="M67" s="31" t="s">
        <v>23</v>
      </c>
      <c r="N67" s="31" t="s">
        <v>16</v>
      </c>
      <c r="O67" s="31" t="s">
        <v>2</v>
      </c>
      <c r="P67" s="31" t="s">
        <v>13</v>
      </c>
      <c r="Q67" s="31" t="s">
        <v>17</v>
      </c>
    </row>
    <row r="68" spans="2:17" ht="18.75">
      <c r="B68" s="23"/>
      <c r="C68" s="27" t="s">
        <v>37</v>
      </c>
      <c r="D68" s="28" t="s">
        <v>39</v>
      </c>
      <c r="E68" s="28"/>
      <c r="F68" s="27" t="s">
        <v>40</v>
      </c>
      <c r="G68" s="27" t="s">
        <v>30</v>
      </c>
      <c r="H68" s="27" t="s">
        <v>22</v>
      </c>
      <c r="I68" s="31" t="s">
        <v>27</v>
      </c>
      <c r="J68" s="31" t="s">
        <v>44</v>
      </c>
      <c r="K68" s="31" t="s">
        <v>30</v>
      </c>
      <c r="L68" s="31" t="s">
        <v>32</v>
      </c>
      <c r="M68" s="32"/>
      <c r="N68" s="32" t="s">
        <v>21</v>
      </c>
      <c r="O68" s="32"/>
      <c r="P68" s="32" t="s">
        <v>20</v>
      </c>
      <c r="Q68" s="33"/>
    </row>
    <row r="69" spans="1:17" ht="18.75">
      <c r="A69" s="2" t="s">
        <v>95</v>
      </c>
      <c r="B69" s="2" t="s">
        <v>96</v>
      </c>
      <c r="C69" s="2">
        <v>33.48</v>
      </c>
      <c r="D69" s="2">
        <f>+G69*H2</f>
        <v>9.238229019212002E+29</v>
      </c>
      <c r="E69" s="2">
        <f>+D69/E2</f>
        <v>0.4644660140378081</v>
      </c>
      <c r="F69" s="2">
        <f>+H2/(L69*G69)</f>
        <v>24.668897930231605</v>
      </c>
      <c r="G69" s="2">
        <f>+K70*L70*L70</f>
        <v>388160883160.16815</v>
      </c>
      <c r="H69" s="2">
        <f>+G69/A2/B2</f>
        <v>412.9576096705394</v>
      </c>
      <c r="I69" s="2" t="s">
        <v>25</v>
      </c>
      <c r="J69">
        <f>+G69/B2</f>
        <v>61777578807.0041</v>
      </c>
      <c r="K69">
        <f>+L69*B2</f>
        <v>1561695.3803709508</v>
      </c>
      <c r="L69" s="2">
        <f>SQRT(J69)</f>
        <v>248550.95816955544</v>
      </c>
      <c r="M69" t="s">
        <v>97</v>
      </c>
      <c r="N69" t="s">
        <v>43</v>
      </c>
      <c r="O69" t="s">
        <v>65</v>
      </c>
      <c r="P69" t="s">
        <v>59</v>
      </c>
      <c r="Q69" t="s">
        <v>65</v>
      </c>
    </row>
    <row r="70" spans="9:17" ht="18.75">
      <c r="I70" s="2" t="s">
        <v>49</v>
      </c>
      <c r="J70">
        <v>0.029</v>
      </c>
      <c r="K70">
        <f>+J70*A2*B2</f>
        <v>27258646.766736</v>
      </c>
      <c r="L70" s="2">
        <f>+K70/M70</f>
        <v>119.33112575873147</v>
      </c>
      <c r="M70">
        <f>+N70*C2</f>
        <v>228428.64</v>
      </c>
      <c r="N70">
        <v>2.64385</v>
      </c>
      <c r="O70">
        <f>+N70/D2</f>
        <v>0.007238466803559206</v>
      </c>
      <c r="P70">
        <f>0.0673*F2</f>
        <v>1.278027E+26</v>
      </c>
      <c r="Q70" s="2">
        <f>+P70/H2</f>
        <v>53698613.445378155</v>
      </c>
    </row>
    <row r="71" spans="7:17" ht="18.75">
      <c r="G71" s="5"/>
      <c r="I71" s="2" t="s">
        <v>50</v>
      </c>
      <c r="J71">
        <v>0.045525</v>
      </c>
      <c r="K71">
        <f>+J71*A2*B2</f>
        <v>42791375.6570916</v>
      </c>
      <c r="L71" s="2">
        <f>+K71/M71</f>
        <v>95.24433684359776</v>
      </c>
      <c r="M71">
        <f>+N71*C2</f>
        <v>449280</v>
      </c>
      <c r="N71">
        <v>5.2</v>
      </c>
      <c r="O71">
        <f>+N71/D2</f>
        <v>0.014236824093086927</v>
      </c>
      <c r="P71">
        <f>0.0157*F2</f>
        <v>2.98143E+25</v>
      </c>
      <c r="Q71" s="2">
        <f>+P71/H2</f>
        <v>12527016.80672269</v>
      </c>
    </row>
    <row r="72" spans="9:17" ht="18.75">
      <c r="I72" s="2" t="s">
        <v>24</v>
      </c>
      <c r="J72" s="2">
        <f>+K72/A2/B2</f>
        <v>1.6614605419820176</v>
      </c>
      <c r="K72">
        <f>+K69*1000</f>
        <v>1561695380.3709507</v>
      </c>
      <c r="L72" s="2">
        <f>SQRT(P72)</f>
        <v>15.765498982574432</v>
      </c>
      <c r="M72">
        <f>+K72/L72</f>
        <v>99057783.20731166</v>
      </c>
      <c r="N72">
        <f>+M72/C2</f>
        <v>1146.502120454996</v>
      </c>
      <c r="O72">
        <f>+N72/D2</f>
        <v>3.138951732936334</v>
      </c>
      <c r="P72">
        <f>+G69/K72</f>
        <v>248.55095816955546</v>
      </c>
      <c r="Q72" t="s">
        <v>59</v>
      </c>
    </row>
    <row r="73" spans="1:17" ht="18.75">
      <c r="A73" s="22" t="s">
        <v>0</v>
      </c>
      <c r="B73" s="22" t="s">
        <v>3</v>
      </c>
      <c r="C73" s="22" t="s">
        <v>36</v>
      </c>
      <c r="D73" s="22" t="s">
        <v>38</v>
      </c>
      <c r="E73" s="22" t="s">
        <v>4</v>
      </c>
      <c r="F73" s="22" t="s">
        <v>14</v>
      </c>
      <c r="G73" s="22" t="s">
        <v>41</v>
      </c>
      <c r="H73" s="22" t="s">
        <v>15</v>
      </c>
      <c r="I73" s="31" t="s">
        <v>26</v>
      </c>
      <c r="J73" s="31" t="s">
        <v>28</v>
      </c>
      <c r="K73" s="31" t="s">
        <v>29</v>
      </c>
      <c r="L73" s="31" t="s">
        <v>31</v>
      </c>
      <c r="M73" s="31" t="s">
        <v>23</v>
      </c>
      <c r="N73" s="31" t="s">
        <v>16</v>
      </c>
      <c r="O73" s="31" t="s">
        <v>2</v>
      </c>
      <c r="P73" s="31" t="s">
        <v>13</v>
      </c>
      <c r="Q73" s="31" t="s">
        <v>17</v>
      </c>
    </row>
    <row r="74" spans="2:17" ht="18.75">
      <c r="B74" s="23"/>
      <c r="C74" s="27" t="s">
        <v>37</v>
      </c>
      <c r="D74" s="28" t="s">
        <v>39</v>
      </c>
      <c r="E74" s="28"/>
      <c r="F74" s="27" t="s">
        <v>40</v>
      </c>
      <c r="G74" s="27" t="s">
        <v>30</v>
      </c>
      <c r="H74" s="27" t="s">
        <v>22</v>
      </c>
      <c r="I74" s="31" t="s">
        <v>27</v>
      </c>
      <c r="J74" s="31" t="s">
        <v>44</v>
      </c>
      <c r="K74" s="31" t="s">
        <v>30</v>
      </c>
      <c r="L74" s="31" t="s">
        <v>32</v>
      </c>
      <c r="M74" s="32"/>
      <c r="N74" s="32" t="s">
        <v>21</v>
      </c>
      <c r="O74" s="32"/>
      <c r="P74" s="32" t="s">
        <v>20</v>
      </c>
      <c r="Q74" s="33"/>
    </row>
    <row r="75" spans="1:17" ht="18.75">
      <c r="A75" s="2" t="s">
        <v>98</v>
      </c>
      <c r="B75" s="2" t="s">
        <v>99</v>
      </c>
      <c r="C75" s="2">
        <v>173</v>
      </c>
      <c r="D75" s="2">
        <f>+G75*H2</f>
        <v>4.972500051176007E+28</v>
      </c>
      <c r="E75" s="2">
        <f>+D75/E2</f>
        <v>0.02500000025729516</v>
      </c>
      <c r="F75" s="2">
        <f>+H2/(G75*L75)</f>
        <v>1975.4709163168784</v>
      </c>
      <c r="G75" s="2">
        <f>+K76*L76*L76</f>
        <v>20892857357.88238</v>
      </c>
      <c r="H75" s="2">
        <f>+G75/A2/B2</f>
        <v>22.22754741141318</v>
      </c>
      <c r="I75" s="2" t="s">
        <v>25</v>
      </c>
      <c r="J75">
        <f>+G75/B2</f>
        <v>3325193748.0714254</v>
      </c>
      <c r="K75">
        <f>+L75*B2</f>
        <v>362317.54215197277</v>
      </c>
      <c r="L75" s="2">
        <f>SQRT(J75)</f>
        <v>57664.492957724215</v>
      </c>
      <c r="M75" t="s">
        <v>53</v>
      </c>
      <c r="N75" t="s">
        <v>64</v>
      </c>
      <c r="O75" t="s">
        <v>84</v>
      </c>
      <c r="P75" t="s">
        <v>100</v>
      </c>
      <c r="Q75" t="s">
        <v>1</v>
      </c>
    </row>
    <row r="76" spans="9:17" ht="18.75">
      <c r="I76" s="2" t="s">
        <v>49</v>
      </c>
      <c r="J76">
        <v>41</v>
      </c>
      <c r="K76">
        <f>+J76*A2*B2</f>
        <v>38538086808.144</v>
      </c>
      <c r="L76" s="2">
        <f>+K76/M76</f>
        <v>0.7362983788637557</v>
      </c>
      <c r="M76">
        <f>+N76*C2</f>
        <v>52340311909.439995</v>
      </c>
      <c r="N76">
        <f>+O76*D2</f>
        <v>605790.6471</v>
      </c>
      <c r="O76" s="3">
        <v>1658.5644</v>
      </c>
      <c r="P76">
        <f>+F2*3.3</f>
        <v>6.2667E+27</v>
      </c>
      <c r="Q76" s="2">
        <f>+P76/H2</f>
        <v>2633067226.890756</v>
      </c>
    </row>
    <row r="77" spans="9:17" ht="18.75">
      <c r="I77" s="2" t="s">
        <v>24</v>
      </c>
      <c r="J77" s="2">
        <f>+K77/A2/B2</f>
        <v>0.385463328841007</v>
      </c>
      <c r="K77">
        <f>+K75*1000</f>
        <v>362317542.1519728</v>
      </c>
      <c r="L77" s="2">
        <f>SQRT(P77)</f>
        <v>7.593714042398767</v>
      </c>
      <c r="M77">
        <f>+K77/L77</f>
        <v>47712824.071199924</v>
      </c>
      <c r="N77">
        <f>+M77/C2</f>
        <v>552.2317600833325</v>
      </c>
      <c r="O77">
        <f>+N77/D2</f>
        <v>1.5119281590234974</v>
      </c>
      <c r="P77">
        <f>+G75/K77</f>
        <v>57.66449295772422</v>
      </c>
      <c r="Q77" t="s">
        <v>43</v>
      </c>
    </row>
    <row r="78" spans="1:18" ht="18.75">
      <c r="A78" s="22" t="s">
        <v>0</v>
      </c>
      <c r="B78" s="22" t="s">
        <v>3</v>
      </c>
      <c r="C78" s="22" t="s">
        <v>36</v>
      </c>
      <c r="D78" s="22" t="s">
        <v>38</v>
      </c>
      <c r="E78" s="22" t="s">
        <v>4</v>
      </c>
      <c r="F78" s="22" t="s">
        <v>14</v>
      </c>
      <c r="G78" s="22" t="s">
        <v>41</v>
      </c>
      <c r="H78" s="22" t="s">
        <v>15</v>
      </c>
      <c r="I78" s="31" t="s">
        <v>26</v>
      </c>
      <c r="J78" s="31" t="s">
        <v>108</v>
      </c>
      <c r="K78" s="31" t="s">
        <v>29</v>
      </c>
      <c r="L78" s="31" t="s">
        <v>31</v>
      </c>
      <c r="M78" s="31" t="s">
        <v>23</v>
      </c>
      <c r="N78" s="31" t="s">
        <v>16</v>
      </c>
      <c r="O78" s="31" t="s">
        <v>2</v>
      </c>
      <c r="P78" s="31" t="s">
        <v>13</v>
      </c>
      <c r="Q78" s="31" t="s">
        <v>17</v>
      </c>
      <c r="R78" s="31" t="s">
        <v>109</v>
      </c>
    </row>
    <row r="79" spans="2:17" ht="18.75">
      <c r="B79" s="23"/>
      <c r="C79" s="27" t="s">
        <v>37</v>
      </c>
      <c r="D79" s="28" t="s">
        <v>39</v>
      </c>
      <c r="E79" s="28"/>
      <c r="F79" s="27" t="s">
        <v>40</v>
      </c>
      <c r="G79" s="27" t="s">
        <v>30</v>
      </c>
      <c r="H79" s="27" t="s">
        <v>22</v>
      </c>
      <c r="I79" s="31" t="s">
        <v>27</v>
      </c>
      <c r="J79" s="23" t="s">
        <v>107</v>
      </c>
      <c r="K79" s="31" t="s">
        <v>30</v>
      </c>
      <c r="L79" s="31" t="s">
        <v>32</v>
      </c>
      <c r="M79" s="32"/>
      <c r="N79" s="23" t="s">
        <v>107</v>
      </c>
      <c r="O79" s="32"/>
      <c r="P79" s="23" t="s">
        <v>107</v>
      </c>
      <c r="Q79" s="33"/>
    </row>
    <row r="80" spans="1:18" ht="21">
      <c r="A80" s="2" t="s">
        <v>101</v>
      </c>
      <c r="B80" s="2" t="s">
        <v>102</v>
      </c>
      <c r="C80" s="2">
        <v>980</v>
      </c>
      <c r="D80" s="1">
        <f>+G80*H2</f>
        <v>2.8457300189489406E+30</v>
      </c>
      <c r="E80" s="2">
        <f>+D80/E2</f>
        <v>1.4307340467314935</v>
      </c>
      <c r="F80" s="2">
        <f>+H2/(G80*L80)</f>
        <v>4.562914088346071</v>
      </c>
      <c r="G80" s="2">
        <f>+K81*L81*L81</f>
        <v>1195684881911.3196</v>
      </c>
      <c r="H80" s="2">
        <f>+G80/A2/B2</f>
        <v>1272.0683411820116</v>
      </c>
      <c r="I80" s="2" t="s">
        <v>25</v>
      </c>
      <c r="J80" t="s">
        <v>110</v>
      </c>
      <c r="K80">
        <f>+L80*B2</f>
        <v>2740935.469876152</v>
      </c>
      <c r="L80" s="2">
        <f>SQRT(R80)</f>
        <v>436232.40862556535</v>
      </c>
      <c r="M80" t="s">
        <v>52</v>
      </c>
      <c r="N80" t="s">
        <v>64</v>
      </c>
      <c r="O80" t="s">
        <v>88</v>
      </c>
      <c r="P80" t="s">
        <v>59</v>
      </c>
      <c r="Q80" t="s">
        <v>111</v>
      </c>
      <c r="R80">
        <f>+G80/B2</f>
        <v>190298714335.26224</v>
      </c>
    </row>
    <row r="81" spans="9:17" ht="18.75">
      <c r="I81" s="2" t="s">
        <v>103</v>
      </c>
      <c r="J81">
        <v>0.19</v>
      </c>
      <c r="K81">
        <f>+J81*A2*B2</f>
        <v>178591133.98896</v>
      </c>
      <c r="L81" s="2">
        <f>+K81/M81</f>
        <v>81.82356954164798</v>
      </c>
      <c r="M81">
        <f>+N81*C2</f>
        <v>2182636.8</v>
      </c>
      <c r="N81">
        <v>25.262</v>
      </c>
      <c r="O81">
        <f>+N81/D2</f>
        <v>0.06916358658453114</v>
      </c>
      <c r="P81">
        <f>+G2*2.01</f>
        <v>1.2006935999999999E+25</v>
      </c>
      <c r="Q81" s="2">
        <f>+P81/H2</f>
        <v>5044931.092436974</v>
      </c>
    </row>
    <row r="82" spans="9:17" ht="18.75">
      <c r="I82" s="2" t="s">
        <v>104</v>
      </c>
      <c r="J82">
        <v>0.36</v>
      </c>
      <c r="K82">
        <f>+J82*A2*B2</f>
        <v>338383201.24223995</v>
      </c>
      <c r="L82" s="2">
        <v>59.24</v>
      </c>
      <c r="M82">
        <f>+N82*C2</f>
        <v>5749220.16</v>
      </c>
      <c r="N82">
        <v>66.5419</v>
      </c>
      <c r="O82">
        <f>+N82/D2</f>
        <v>0.18218179329226555</v>
      </c>
      <c r="P82">
        <f>+G2*4.3</f>
        <v>2.5686479999999995E+25</v>
      </c>
      <c r="Q82" s="2">
        <f>+P82/H2</f>
        <v>10792638.655462183</v>
      </c>
    </row>
    <row r="83" spans="9:17" ht="18.75">
      <c r="I83" s="2" t="s">
        <v>105</v>
      </c>
      <c r="J83">
        <v>0.46</v>
      </c>
      <c r="K83">
        <f>+J83*A2*B2</f>
        <v>432378534.92064</v>
      </c>
      <c r="L83" s="2">
        <v>52.04</v>
      </c>
      <c r="M83">
        <f>+N83*C2</f>
        <v>8485464.959999999</v>
      </c>
      <c r="N83">
        <v>98.2114</v>
      </c>
      <c r="O83">
        <f>+N83/D2</f>
        <v>0.26888815879534567</v>
      </c>
      <c r="P83">
        <f>+G2*3.9</f>
        <v>2.3297039999999996E+25</v>
      </c>
      <c r="Q83" s="2">
        <f>+P83/H2</f>
        <v>9788672.268907562</v>
      </c>
    </row>
    <row r="84" spans="9:18" ht="18.75">
      <c r="I84" s="2" t="s">
        <v>24</v>
      </c>
      <c r="J84" s="2">
        <f>+K84/A2/B2</f>
        <v>2.916033554659337</v>
      </c>
      <c r="K84">
        <f>+K80*1000</f>
        <v>2740935469.876152</v>
      </c>
      <c r="L84" s="2">
        <f>SQRT(R84)</f>
        <v>20.886177453654973</v>
      </c>
      <c r="P84" t="s">
        <v>60</v>
      </c>
      <c r="Q84" t="s">
        <v>43</v>
      </c>
      <c r="R84">
        <f>+G80/K84</f>
        <v>436.23240862556537</v>
      </c>
    </row>
    <row r="85" spans="1:18" ht="18.75">
      <c r="A85" s="22" t="s">
        <v>0</v>
      </c>
      <c r="B85" s="22" t="s">
        <v>3</v>
      </c>
      <c r="C85" s="22" t="s">
        <v>36</v>
      </c>
      <c r="D85" s="22" t="s">
        <v>38</v>
      </c>
      <c r="E85" s="22" t="s">
        <v>4</v>
      </c>
      <c r="F85" s="22" t="s">
        <v>14</v>
      </c>
      <c r="G85" s="22" t="s">
        <v>41</v>
      </c>
      <c r="H85" s="22" t="s">
        <v>15</v>
      </c>
      <c r="I85" s="31" t="s">
        <v>26</v>
      </c>
      <c r="J85" s="31" t="s">
        <v>108</v>
      </c>
      <c r="K85" s="31" t="s">
        <v>29</v>
      </c>
      <c r="L85" s="31" t="s">
        <v>31</v>
      </c>
      <c r="M85" s="31" t="s">
        <v>23</v>
      </c>
      <c r="N85" s="31" t="s">
        <v>16</v>
      </c>
      <c r="O85" s="31" t="s">
        <v>2</v>
      </c>
      <c r="P85" s="31" t="s">
        <v>13</v>
      </c>
      <c r="Q85" s="31" t="s">
        <v>17</v>
      </c>
      <c r="R85" s="31" t="s">
        <v>109</v>
      </c>
    </row>
    <row r="86" spans="1:17" ht="18.75">
      <c r="A86" s="2"/>
      <c r="B86" s="23"/>
      <c r="C86" s="27" t="s">
        <v>37</v>
      </c>
      <c r="D86" s="28" t="s">
        <v>39</v>
      </c>
      <c r="E86" s="28"/>
      <c r="F86" s="27" t="s">
        <v>40</v>
      </c>
      <c r="G86" s="27" t="s">
        <v>30</v>
      </c>
      <c r="H86" s="27" t="s">
        <v>22</v>
      </c>
      <c r="I86" s="31" t="s">
        <v>27</v>
      </c>
      <c r="J86" s="23" t="s">
        <v>107</v>
      </c>
      <c r="K86" s="31" t="s">
        <v>30</v>
      </c>
      <c r="L86" s="31" t="s">
        <v>32</v>
      </c>
      <c r="M86" s="32"/>
      <c r="N86" s="23" t="s">
        <v>107</v>
      </c>
      <c r="O86" s="32"/>
      <c r="P86" s="23" t="s">
        <v>107</v>
      </c>
      <c r="Q86" s="33"/>
    </row>
    <row r="87" spans="1:18" ht="18.75">
      <c r="A87" s="2" t="s">
        <v>117</v>
      </c>
      <c r="B87" s="3" t="s">
        <v>113</v>
      </c>
      <c r="C87" s="2">
        <v>457</v>
      </c>
      <c r="D87" s="2">
        <f>+G87*H2</f>
        <v>1.8592986746431156E+30</v>
      </c>
      <c r="E87" s="2">
        <f>+D87/E2</f>
        <v>0.9347906860950808</v>
      </c>
      <c r="F87" s="2">
        <f>+H2/(L87*G87)</f>
        <v>8.639907542528098</v>
      </c>
      <c r="G87" s="2">
        <f>+K88*L88*L88</f>
        <v>781217930522.3175</v>
      </c>
      <c r="H87" s="2">
        <f>+G87/A2/B2</f>
        <v>831.1241632432657</v>
      </c>
      <c r="I87" s="2" t="s">
        <v>25</v>
      </c>
      <c r="J87" t="s">
        <v>115</v>
      </c>
      <c r="K87">
        <f>+L87*B2</f>
        <v>2215524.4302552445</v>
      </c>
      <c r="L87" s="2">
        <f>SQRT(R87)</f>
        <v>352610.8400584486</v>
      </c>
      <c r="M87" t="s">
        <v>55</v>
      </c>
      <c r="N87" t="s">
        <v>84</v>
      </c>
      <c r="O87" t="s">
        <v>1</v>
      </c>
      <c r="P87" t="s">
        <v>116</v>
      </c>
      <c r="Q87" t="s">
        <v>88</v>
      </c>
      <c r="R87">
        <f>+G87/B2</f>
        <v>124334404526.72484</v>
      </c>
    </row>
    <row r="88" spans="1:17" ht="18.75">
      <c r="A88" s="2" t="s">
        <v>118</v>
      </c>
      <c r="I88" s="2" t="s">
        <v>114</v>
      </c>
      <c r="J88">
        <v>0.03894</v>
      </c>
      <c r="K88">
        <f>+J88*A2*B2</f>
        <v>36601782.93436896</v>
      </c>
      <c r="L88" s="2">
        <f>+K88/M88</f>
        <v>146.09487486324173</v>
      </c>
      <c r="M88">
        <f>+N88*C2</f>
        <v>250534.33920000002</v>
      </c>
      <c r="N88">
        <v>2.899703</v>
      </c>
      <c r="O88">
        <f>+N88/D2</f>
        <v>0.007938954140999316</v>
      </c>
      <c r="P88">
        <f>+F2*0.61</f>
        <v>1.15839E+27</v>
      </c>
      <c r="Q88" s="5">
        <f>+P88/H2</f>
        <v>486718487.394958</v>
      </c>
    </row>
    <row r="89" spans="9:18" ht="18.75">
      <c r="I89" s="2" t="s">
        <v>24</v>
      </c>
      <c r="J89" s="2">
        <f>+K89/A2/B2</f>
        <v>2.3570578916561353</v>
      </c>
      <c r="K89">
        <f>+K87*1000</f>
        <v>2215524430.2552443</v>
      </c>
      <c r="L89" s="2">
        <f>SQRT(R89)</f>
        <v>18.777934925290605</v>
      </c>
      <c r="M89">
        <f>+K89/L89</f>
        <v>117985520.7225859</v>
      </c>
      <c r="N89">
        <f>+M89/C2</f>
        <v>1365.5731565114108</v>
      </c>
      <c r="O89">
        <f>+N89/D2</f>
        <v>3.738735541441234</v>
      </c>
      <c r="P89" t="s">
        <v>87</v>
      </c>
      <c r="Q89" t="s">
        <v>87</v>
      </c>
      <c r="R89">
        <f>+G87/K89</f>
        <v>352.6108400584487</v>
      </c>
    </row>
    <row r="90" spans="1:18" ht="18.75">
      <c r="A90" s="22" t="s">
        <v>0</v>
      </c>
      <c r="B90" s="22" t="s">
        <v>3</v>
      </c>
      <c r="C90" s="22" t="s">
        <v>36</v>
      </c>
      <c r="D90" s="22" t="s">
        <v>38</v>
      </c>
      <c r="E90" s="22" t="s">
        <v>4</v>
      </c>
      <c r="F90" s="22" t="s">
        <v>14</v>
      </c>
      <c r="G90" s="22" t="s">
        <v>41</v>
      </c>
      <c r="H90" s="22" t="s">
        <v>15</v>
      </c>
      <c r="I90" s="31" t="s">
        <v>26</v>
      </c>
      <c r="J90" s="31" t="s">
        <v>108</v>
      </c>
      <c r="K90" s="31" t="s">
        <v>29</v>
      </c>
      <c r="L90" s="31" t="s">
        <v>31</v>
      </c>
      <c r="M90" s="31" t="s">
        <v>23</v>
      </c>
      <c r="N90" s="31" t="s">
        <v>16</v>
      </c>
      <c r="O90" s="31" t="s">
        <v>2</v>
      </c>
      <c r="P90" s="31" t="s">
        <v>13</v>
      </c>
      <c r="Q90" s="31" t="s">
        <v>17</v>
      </c>
      <c r="R90" s="31" t="s">
        <v>109</v>
      </c>
    </row>
    <row r="91" spans="1:17" ht="18.75">
      <c r="A91" s="2"/>
      <c r="B91" s="23"/>
      <c r="C91" s="27" t="s">
        <v>37</v>
      </c>
      <c r="D91" s="28" t="s">
        <v>39</v>
      </c>
      <c r="E91" s="28"/>
      <c r="F91" s="27" t="s">
        <v>40</v>
      </c>
      <c r="G91" s="27" t="s">
        <v>30</v>
      </c>
      <c r="H91" s="27" t="s">
        <v>22</v>
      </c>
      <c r="I91" s="31" t="s">
        <v>27</v>
      </c>
      <c r="J91" s="23" t="s">
        <v>107</v>
      </c>
      <c r="K91" s="31" t="s">
        <v>30</v>
      </c>
      <c r="L91" s="31" t="s">
        <v>32</v>
      </c>
      <c r="M91" s="32"/>
      <c r="N91" s="23" t="s">
        <v>107</v>
      </c>
      <c r="O91" s="32"/>
      <c r="P91" s="23" t="s">
        <v>107</v>
      </c>
      <c r="Q91" s="33"/>
    </row>
    <row r="92" spans="1:18" ht="18.75">
      <c r="A92" s="2" t="s">
        <v>119</v>
      </c>
      <c r="B92" s="3" t="s">
        <v>120</v>
      </c>
      <c r="C92" s="2">
        <v>660</v>
      </c>
      <c r="D92" s="2">
        <f>+G92*H2</f>
        <v>3.155749954351051E+30</v>
      </c>
      <c r="E92" s="2">
        <f>+D92/E2</f>
        <v>1.5866012842388393</v>
      </c>
      <c r="F92" s="2">
        <f>+H2/(L92*G92)</f>
        <v>3.907319796263189</v>
      </c>
      <c r="G92" s="2">
        <f>+K93*L93*L93</f>
        <v>1325945358971.03</v>
      </c>
      <c r="H92" s="2">
        <f>+G92/A2/B2</f>
        <v>1410.650196218975</v>
      </c>
      <c r="I92" s="2" t="s">
        <v>25</v>
      </c>
      <c r="J92" t="s">
        <v>122</v>
      </c>
      <c r="K92">
        <f>+L92*B2</f>
        <v>2886378.332701168</v>
      </c>
      <c r="L92" s="2">
        <f>SQRT(R92)</f>
        <v>459380.305051752</v>
      </c>
      <c r="M92" t="s">
        <v>55</v>
      </c>
      <c r="N92" t="s">
        <v>121</v>
      </c>
      <c r="O92" t="s">
        <v>84</v>
      </c>
      <c r="P92" t="s">
        <v>100</v>
      </c>
      <c r="Q92" t="s">
        <v>43</v>
      </c>
      <c r="R92">
        <f>+G92/B2</f>
        <v>211030264669.44073</v>
      </c>
    </row>
    <row r="93" spans="9:17" ht="18.75">
      <c r="I93" s="2" t="s">
        <v>49</v>
      </c>
      <c r="J93">
        <v>0.0495</v>
      </c>
      <c r="K93">
        <f>+J93*A2*B2</f>
        <v>46527690.170808</v>
      </c>
      <c r="L93" s="2">
        <f>+K93/M93</f>
        <v>168.81345847413795</v>
      </c>
      <c r="M93">
        <f>+N93*C2</f>
        <v>275616</v>
      </c>
      <c r="N93">
        <v>3.19</v>
      </c>
      <c r="O93">
        <f>+N93/D2</f>
        <v>0.008733744010951403</v>
      </c>
      <c r="P93" s="6">
        <f>+F2*12.1</f>
        <v>2.29779E+28</v>
      </c>
      <c r="Q93" s="2">
        <f>+P93/H2</f>
        <v>9654579831.932774</v>
      </c>
    </row>
    <row r="94" spans="9:18" ht="18.75">
      <c r="I94" s="2" t="s">
        <v>24</v>
      </c>
      <c r="J94" s="2">
        <f>+K94/A2/B2</f>
        <v>3.0707676857414614</v>
      </c>
      <c r="K94">
        <f>+K92*1000</f>
        <v>2886378332.701168</v>
      </c>
      <c r="L94" s="2">
        <f>SQRT(R94)</f>
        <v>21.433159007755997</v>
      </c>
      <c r="M94">
        <f>+K94/L94</f>
        <v>134668824.67753246</v>
      </c>
      <c r="N94">
        <f>+M94/C2</f>
        <v>1558.6669522862553</v>
      </c>
      <c r="O94">
        <f>+N94/D2</f>
        <v>4.267397542193717</v>
      </c>
      <c r="P94" t="s">
        <v>34</v>
      </c>
      <c r="Q94" t="s">
        <v>93</v>
      </c>
      <c r="R94">
        <f>+G92/K94</f>
        <v>459.38030505175203</v>
      </c>
    </row>
    <row r="95" spans="1:18" ht="18.75">
      <c r="A95" s="22" t="s">
        <v>0</v>
      </c>
      <c r="B95" s="22" t="s">
        <v>3</v>
      </c>
      <c r="C95" s="22" t="s">
        <v>36</v>
      </c>
      <c r="D95" s="22" t="s">
        <v>38</v>
      </c>
      <c r="E95" s="22" t="s">
        <v>4</v>
      </c>
      <c r="F95" s="22" t="s">
        <v>14</v>
      </c>
      <c r="G95" s="22" t="s">
        <v>41</v>
      </c>
      <c r="H95" s="22" t="s">
        <v>15</v>
      </c>
      <c r="I95" s="31" t="s">
        <v>26</v>
      </c>
      <c r="J95" s="31" t="s">
        <v>108</v>
      </c>
      <c r="K95" s="31" t="s">
        <v>29</v>
      </c>
      <c r="L95" s="31" t="s">
        <v>31</v>
      </c>
      <c r="M95" s="31" t="s">
        <v>23</v>
      </c>
      <c r="N95" s="31" t="s">
        <v>16</v>
      </c>
      <c r="O95" s="31" t="s">
        <v>2</v>
      </c>
      <c r="P95" s="31" t="s">
        <v>13</v>
      </c>
      <c r="Q95" s="31" t="s">
        <v>17</v>
      </c>
      <c r="R95" s="31" t="s">
        <v>109</v>
      </c>
    </row>
    <row r="96" spans="1:17" ht="18.75">
      <c r="A96" s="2"/>
      <c r="B96" s="23"/>
      <c r="C96" s="27" t="s">
        <v>37</v>
      </c>
      <c r="D96" s="28" t="s">
        <v>39</v>
      </c>
      <c r="E96" s="28"/>
      <c r="F96" s="27" t="s">
        <v>40</v>
      </c>
      <c r="G96" s="27" t="s">
        <v>30</v>
      </c>
      <c r="H96" s="27" t="s">
        <v>22</v>
      </c>
      <c r="I96" s="31" t="s">
        <v>27</v>
      </c>
      <c r="J96" s="23" t="s">
        <v>107</v>
      </c>
      <c r="K96" s="31" t="s">
        <v>30</v>
      </c>
      <c r="L96" s="31" t="s">
        <v>32</v>
      </c>
      <c r="M96" s="32"/>
      <c r="N96" s="23" t="s">
        <v>107</v>
      </c>
      <c r="O96" s="32"/>
      <c r="P96" s="23" t="s">
        <v>107</v>
      </c>
      <c r="Q96" s="33"/>
    </row>
    <row r="97" spans="1:18" ht="18.75">
      <c r="A97" s="2" t="s">
        <v>123</v>
      </c>
      <c r="B97" s="3" t="s">
        <v>124</v>
      </c>
      <c r="C97" s="2">
        <v>1010</v>
      </c>
      <c r="D97" s="2">
        <f>+G97*H2</f>
        <v>2.5151635481542707E+30</v>
      </c>
      <c r="E97" s="2">
        <f>+D97/E2</f>
        <v>1.2645367260705234</v>
      </c>
      <c r="F97" s="2">
        <f>+H2/(G97*L97)</f>
        <v>5.491405182361656</v>
      </c>
      <c r="G97" s="2">
        <f>+K98*L98*L98</f>
        <v>1056791406787.5087</v>
      </c>
      <c r="H97" s="2">
        <f>+G97/A2/B2</f>
        <v>1124.301989717132</v>
      </c>
      <c r="I97" s="2" t="s">
        <v>25</v>
      </c>
      <c r="J97" t="s">
        <v>126</v>
      </c>
      <c r="K97">
        <f>+L97*B2</f>
        <v>2576825.909355786</v>
      </c>
      <c r="L97" s="2">
        <f>SQRT(R97)</f>
        <v>410113.6219371954</v>
      </c>
      <c r="M97" t="s">
        <v>55</v>
      </c>
      <c r="N97" t="s">
        <v>1</v>
      </c>
      <c r="O97" t="s">
        <v>67</v>
      </c>
      <c r="P97" t="s">
        <v>54</v>
      </c>
      <c r="Q97" t="s">
        <v>1</v>
      </c>
      <c r="R97">
        <f>+G97/B2</f>
        <v>168193182898.44485</v>
      </c>
    </row>
    <row r="98" spans="9:17" ht="18.75">
      <c r="I98" s="2" t="s">
        <v>125</v>
      </c>
      <c r="J98">
        <v>0.0446</v>
      </c>
      <c r="K98">
        <f>+J98*A2*B2</f>
        <v>41921918.8205664</v>
      </c>
      <c r="L98" s="2">
        <f>+K98/M98</f>
        <v>158.77205293081005</v>
      </c>
      <c r="M98">
        <f>+N98*C2</f>
        <v>264038.4</v>
      </c>
      <c r="N98">
        <v>3.056</v>
      </c>
      <c r="O98">
        <f>+N98/D2</f>
        <v>0.008366872005475702</v>
      </c>
      <c r="P98">
        <f>+F2*0.68</f>
        <v>1.29132E+27</v>
      </c>
      <c r="Q98" s="2">
        <f>+P98/H2</f>
        <v>542571428.5714287</v>
      </c>
    </row>
    <row r="99" spans="9:18" ht="18.75">
      <c r="I99" s="2" t="s">
        <v>24</v>
      </c>
      <c r="J99" s="2">
        <f>+K99/A2/B2</f>
        <v>2.7414402486960237</v>
      </c>
      <c r="K99">
        <f>+K97*1000</f>
        <v>2576825909.3557863</v>
      </c>
      <c r="L99" s="2">
        <f>SQRT(R99)</f>
        <v>20.251262230715284</v>
      </c>
      <c r="M99">
        <f>+K99/L99</f>
        <v>127242730.84803028</v>
      </c>
      <c r="N99">
        <f>+M99/C2</f>
        <v>1472.7167922225726</v>
      </c>
      <c r="O99">
        <f>+N99/D2</f>
        <v>4.032078828809234</v>
      </c>
      <c r="P99" t="s">
        <v>52</v>
      </c>
      <c r="Q99" t="s">
        <v>42</v>
      </c>
      <c r="R99">
        <f>+G97/K99</f>
        <v>410.1136219371954</v>
      </c>
    </row>
    <row r="100" spans="1:18" ht="18.75">
      <c r="A100" s="22" t="s">
        <v>0</v>
      </c>
      <c r="B100" s="22" t="s">
        <v>3</v>
      </c>
      <c r="C100" s="22" t="s">
        <v>36</v>
      </c>
      <c r="D100" s="22" t="s">
        <v>38</v>
      </c>
      <c r="E100" s="22" t="s">
        <v>4</v>
      </c>
      <c r="F100" s="22" t="s">
        <v>14</v>
      </c>
      <c r="G100" s="22" t="s">
        <v>41</v>
      </c>
      <c r="H100" s="22" t="s">
        <v>15</v>
      </c>
      <c r="I100" s="31" t="s">
        <v>26</v>
      </c>
      <c r="J100" s="31" t="s">
        <v>108</v>
      </c>
      <c r="K100" s="31" t="s">
        <v>29</v>
      </c>
      <c r="L100" s="31" t="s">
        <v>31</v>
      </c>
      <c r="M100" s="31" t="s">
        <v>23</v>
      </c>
      <c r="N100" s="31" t="s">
        <v>16</v>
      </c>
      <c r="O100" s="31" t="s">
        <v>2</v>
      </c>
      <c r="P100" s="31" t="s">
        <v>13</v>
      </c>
      <c r="Q100" s="31" t="s">
        <v>17</v>
      </c>
      <c r="R100" s="31" t="s">
        <v>109</v>
      </c>
    </row>
    <row r="101" spans="1:17" ht="18.75">
      <c r="A101" s="2"/>
      <c r="B101" s="23"/>
      <c r="C101" s="27" t="s">
        <v>37</v>
      </c>
      <c r="D101" s="28" t="s">
        <v>39</v>
      </c>
      <c r="E101" s="28"/>
      <c r="F101" s="27" t="s">
        <v>40</v>
      </c>
      <c r="G101" s="27" t="s">
        <v>30</v>
      </c>
      <c r="H101" s="27" t="s">
        <v>22</v>
      </c>
      <c r="I101" s="31" t="s">
        <v>27</v>
      </c>
      <c r="J101" s="23" t="s">
        <v>107</v>
      </c>
      <c r="K101" s="31" t="s">
        <v>30</v>
      </c>
      <c r="L101" s="31" t="s">
        <v>32</v>
      </c>
      <c r="M101" s="32"/>
      <c r="N101" s="23" t="s">
        <v>107</v>
      </c>
      <c r="O101" s="32"/>
      <c r="P101" s="23" t="s">
        <v>107</v>
      </c>
      <c r="Q101" s="33"/>
    </row>
    <row r="102" spans="1:18" ht="18.75">
      <c r="A102" s="2" t="s">
        <v>127</v>
      </c>
      <c r="B102" s="2" t="s">
        <v>128</v>
      </c>
      <c r="C102" s="2">
        <v>8950</v>
      </c>
      <c r="D102" s="2">
        <f>+G102*H2</f>
        <v>1.726555935977189E+30</v>
      </c>
      <c r="E102" s="2">
        <f>+D102/E2</f>
        <v>0.8680522553932574</v>
      </c>
      <c r="F102" s="2">
        <f>+H2/(G102*L102)</f>
        <v>9.655212914821531</v>
      </c>
      <c r="G102" s="2">
        <f>+K103*L103*L103</f>
        <v>725443670578.6508</v>
      </c>
      <c r="H102" s="2">
        <f>+G102/A2/B2</f>
        <v>771.7868985504296</v>
      </c>
      <c r="I102" s="2" t="s">
        <v>25</v>
      </c>
      <c r="J102" t="s">
        <v>129</v>
      </c>
      <c r="K102">
        <f>+L102*B2</f>
        <v>2134972.522300879</v>
      </c>
      <c r="L102" s="2">
        <f>SQRT(R102)</f>
        <v>339790.63571124256</v>
      </c>
      <c r="M102" t="s">
        <v>130</v>
      </c>
      <c r="N102" t="s">
        <v>1</v>
      </c>
      <c r="O102" t="s">
        <v>84</v>
      </c>
      <c r="P102" t="s">
        <v>35</v>
      </c>
      <c r="Q102" t="s">
        <v>84</v>
      </c>
      <c r="R102">
        <f>+G102/B2</f>
        <v>115457676117.05035</v>
      </c>
    </row>
    <row r="103" spans="9:17" ht="18.75">
      <c r="I103" s="2" t="s">
        <v>114</v>
      </c>
      <c r="J103">
        <v>0.0464</v>
      </c>
      <c r="K103">
        <f>+J103*A2*B2</f>
        <v>43613834.8267776</v>
      </c>
      <c r="L103" s="2">
        <f>+K103/M103</f>
        <v>128.97030018895134</v>
      </c>
      <c r="M103">
        <f>+N103*C2</f>
        <v>338169.60000000003</v>
      </c>
      <c r="N103">
        <v>3.914</v>
      </c>
      <c r="O103">
        <f>+N103/D2</f>
        <v>0.010715947980835045</v>
      </c>
      <c r="P103">
        <f>+F2*0.81</f>
        <v>1.53819E+27</v>
      </c>
      <c r="Q103">
        <f>+P103/H2</f>
        <v>646298319.3277311</v>
      </c>
    </row>
    <row r="104" spans="9:18" ht="18.75">
      <c r="I104" s="2" t="s">
        <v>24</v>
      </c>
      <c r="J104" s="2">
        <f>+K104/A2/B2</f>
        <v>2.2713601183709535</v>
      </c>
      <c r="K104">
        <f>+K102*1000</f>
        <v>2134972522.300879</v>
      </c>
      <c r="L104" s="2">
        <f>SQRT(R104)</f>
        <v>18.433410853969555</v>
      </c>
      <c r="M104">
        <f>+K104/L104</f>
        <v>115820807.07766148</v>
      </c>
      <c r="N104">
        <f>+M104/C2</f>
        <v>1340.5186004358968</v>
      </c>
      <c r="O104" s="3">
        <f>+N104/D2</f>
        <v>3.670139905368643</v>
      </c>
      <c r="P104" t="s">
        <v>64</v>
      </c>
      <c r="Q104" t="s">
        <v>131</v>
      </c>
      <c r="R104">
        <f>+G102/K104</f>
        <v>339.7906357112426</v>
      </c>
    </row>
    <row r="105" spans="1:18" ht="18.75">
      <c r="A105" s="22" t="s">
        <v>0</v>
      </c>
      <c r="B105" s="22" t="s">
        <v>3</v>
      </c>
      <c r="C105" s="22" t="s">
        <v>36</v>
      </c>
      <c r="D105" s="22" t="s">
        <v>38</v>
      </c>
      <c r="E105" s="22" t="s">
        <v>4</v>
      </c>
      <c r="F105" s="22" t="s">
        <v>14</v>
      </c>
      <c r="G105" s="22" t="s">
        <v>41</v>
      </c>
      <c r="H105" s="22" t="s">
        <v>15</v>
      </c>
      <c r="I105" s="31" t="s">
        <v>26</v>
      </c>
      <c r="J105" s="31" t="s">
        <v>108</v>
      </c>
      <c r="K105" s="31" t="s">
        <v>29</v>
      </c>
      <c r="L105" s="31" t="s">
        <v>31</v>
      </c>
      <c r="M105" s="31" t="s">
        <v>23</v>
      </c>
      <c r="N105" s="31" t="s">
        <v>16</v>
      </c>
      <c r="O105" s="31" t="s">
        <v>2</v>
      </c>
      <c r="P105" s="31" t="s">
        <v>13</v>
      </c>
      <c r="Q105" s="31" t="s">
        <v>17</v>
      </c>
      <c r="R105" s="31" t="s">
        <v>109</v>
      </c>
    </row>
    <row r="106" spans="1:17" ht="18.75">
      <c r="A106" s="2"/>
      <c r="B106" s="23"/>
      <c r="C106" s="27" t="s">
        <v>37</v>
      </c>
      <c r="D106" s="28" t="s">
        <v>39</v>
      </c>
      <c r="E106" s="28"/>
      <c r="F106" s="27" t="s">
        <v>40</v>
      </c>
      <c r="G106" s="27" t="s">
        <v>30</v>
      </c>
      <c r="H106" s="27" t="s">
        <v>22</v>
      </c>
      <c r="I106" s="31" t="s">
        <v>27</v>
      </c>
      <c r="J106" s="23" t="s">
        <v>107</v>
      </c>
      <c r="K106" s="31" t="s">
        <v>30</v>
      </c>
      <c r="L106" s="31" t="s">
        <v>32</v>
      </c>
      <c r="M106" s="32"/>
      <c r="N106" s="23" t="s">
        <v>107</v>
      </c>
      <c r="O106" s="32"/>
      <c r="P106" s="23" t="s">
        <v>107</v>
      </c>
      <c r="Q106" s="33"/>
    </row>
    <row r="107" spans="1:18" ht="21">
      <c r="A107" s="2" t="s">
        <v>132</v>
      </c>
      <c r="B107" s="3" t="s">
        <v>133</v>
      </c>
      <c r="C107" s="2">
        <v>600</v>
      </c>
      <c r="D107" s="2">
        <f>+G107*H2</f>
        <v>1.9806022385763382E+30</v>
      </c>
      <c r="E107" s="2">
        <f>+D107/E2</f>
        <v>0.9957778977256603</v>
      </c>
      <c r="F107" s="1">
        <f>+H2/(G107*L107)</f>
        <v>7.858450759272331</v>
      </c>
      <c r="G107" s="2">
        <f>+K108*L108*L108</f>
        <v>832185814527.8732</v>
      </c>
      <c r="H107" s="2">
        <f>+G107/A2/B2</f>
        <v>885.3480082055481</v>
      </c>
      <c r="I107" s="2" t="s">
        <v>25</v>
      </c>
      <c r="J107" t="s">
        <v>134</v>
      </c>
      <c r="K107">
        <f>+L107*B2</f>
        <v>2286654.7421597196</v>
      </c>
      <c r="L107" s="2">
        <f>SQRT(R107)</f>
        <v>363931.55432895967</v>
      </c>
      <c r="M107" t="s">
        <v>53</v>
      </c>
      <c r="N107" t="s">
        <v>59</v>
      </c>
      <c r="O107" t="s">
        <v>66</v>
      </c>
      <c r="P107" t="s">
        <v>56</v>
      </c>
      <c r="Q107" t="s">
        <v>100</v>
      </c>
      <c r="R107">
        <f>+G107/B2</f>
        <v>132446176236.29253</v>
      </c>
    </row>
    <row r="108" spans="9:17" ht="18.75">
      <c r="I108" s="2" t="s">
        <v>49</v>
      </c>
      <c r="J108">
        <v>0.0488</v>
      </c>
      <c r="K108">
        <f>+J108*A2*B2</f>
        <v>45869722.8350592</v>
      </c>
      <c r="L108" s="2">
        <f>+K108/M108</f>
        <v>134.69364208204783</v>
      </c>
      <c r="M108">
        <f>+N108*C2</f>
        <v>340548.5376</v>
      </c>
      <c r="N108">
        <v>3.941534</v>
      </c>
      <c r="O108">
        <f>+N108/D2</f>
        <v>0.01079133196440794</v>
      </c>
      <c r="P108">
        <f>+F2*0.9</f>
        <v>1.7091E+27</v>
      </c>
      <c r="Q108" s="2">
        <f>+P108/H2</f>
        <v>718109243.697479</v>
      </c>
    </row>
    <row r="109" spans="9:18" ht="18.75">
      <c r="I109" s="2" t="s">
        <v>24</v>
      </c>
      <c r="J109" s="2">
        <f>+K109/A2/B2</f>
        <v>2.4327321928377703</v>
      </c>
      <c r="K109">
        <f>+K107*1000</f>
        <v>2286654742.1597195</v>
      </c>
      <c r="L109" s="2">
        <f>SQRT(R109)</f>
        <v>19.076990180029963</v>
      </c>
      <c r="M109">
        <f>+K109/L109</f>
        <v>119864544.69916427</v>
      </c>
      <c r="N109">
        <f>+M109/C2</f>
        <v>1387.3211192032902</v>
      </c>
      <c r="O109">
        <f>+N109/D2</f>
        <v>3.798278218215716</v>
      </c>
      <c r="P109" t="s">
        <v>97</v>
      </c>
      <c r="Q109" t="s">
        <v>55</v>
      </c>
      <c r="R109">
        <f>+G107/K109</f>
        <v>363.93155432895963</v>
      </c>
    </row>
    <row r="110" spans="1:18" ht="18.75">
      <c r="A110" s="22" t="s">
        <v>0</v>
      </c>
      <c r="B110" s="22" t="s">
        <v>3</v>
      </c>
      <c r="C110" s="22" t="s">
        <v>36</v>
      </c>
      <c r="D110" s="22" t="s">
        <v>38</v>
      </c>
      <c r="E110" s="22" t="s">
        <v>4</v>
      </c>
      <c r="F110" s="22" t="s">
        <v>14</v>
      </c>
      <c r="G110" s="22" t="s">
        <v>41</v>
      </c>
      <c r="H110" s="22" t="s">
        <v>15</v>
      </c>
      <c r="I110" s="31" t="s">
        <v>26</v>
      </c>
      <c r="J110" s="31" t="s">
        <v>108</v>
      </c>
      <c r="K110" s="31" t="s">
        <v>29</v>
      </c>
      <c r="L110" s="31" t="s">
        <v>31</v>
      </c>
      <c r="M110" s="31" t="s">
        <v>23</v>
      </c>
      <c r="N110" s="31" t="s">
        <v>16</v>
      </c>
      <c r="O110" s="31" t="s">
        <v>2</v>
      </c>
      <c r="P110" s="31" t="s">
        <v>13</v>
      </c>
      <c r="Q110" s="31" t="s">
        <v>17</v>
      </c>
      <c r="R110" s="31" t="s">
        <v>109</v>
      </c>
    </row>
    <row r="111" spans="1:17" ht="18.75">
      <c r="A111" s="2"/>
      <c r="B111" s="23"/>
      <c r="C111" s="27" t="s">
        <v>37</v>
      </c>
      <c r="D111" s="28" t="s">
        <v>39</v>
      </c>
      <c r="E111" s="28"/>
      <c r="F111" s="27" t="s">
        <v>40</v>
      </c>
      <c r="G111" s="27" t="s">
        <v>30</v>
      </c>
      <c r="H111" s="27" t="s">
        <v>22</v>
      </c>
      <c r="I111" s="31" t="s">
        <v>27</v>
      </c>
      <c r="J111" s="23" t="s">
        <v>107</v>
      </c>
      <c r="K111" s="31" t="s">
        <v>30</v>
      </c>
      <c r="L111" s="31" t="s">
        <v>32</v>
      </c>
      <c r="M111" s="32"/>
      <c r="N111" s="23" t="s">
        <v>107</v>
      </c>
      <c r="O111" s="32"/>
      <c r="P111" s="23" t="s">
        <v>107</v>
      </c>
      <c r="Q111" s="33"/>
    </row>
    <row r="112" spans="1:18" ht="18.75">
      <c r="A112" s="2" t="s">
        <v>135</v>
      </c>
      <c r="B112" s="3" t="s">
        <v>136</v>
      </c>
      <c r="C112" s="2">
        <v>440</v>
      </c>
      <c r="D112" s="2">
        <f>+G112*H2</f>
        <v>2.6816206893812635E+30</v>
      </c>
      <c r="E112" s="2">
        <f>+D112/E2</f>
        <v>1.3482255854103888</v>
      </c>
      <c r="F112" s="2">
        <f>+H2/(G112*L112)</f>
        <v>4.988119084581043</v>
      </c>
      <c r="G112" s="2">
        <f>+K113*L113*L113</f>
        <v>1126731382092.9678</v>
      </c>
      <c r="H112" s="2">
        <f>+G112/A2/B2</f>
        <v>1198.7099125026982</v>
      </c>
      <c r="I112" s="2" t="s">
        <v>25</v>
      </c>
      <c r="J112" t="s">
        <v>129</v>
      </c>
      <c r="K112">
        <f>+L112*B2</f>
        <v>2660728.9640184203</v>
      </c>
      <c r="L112" s="2">
        <f>SQRT(R112)</f>
        <v>423467.17660084355</v>
      </c>
      <c r="M112" t="s">
        <v>137</v>
      </c>
      <c r="N112" t="s">
        <v>91</v>
      </c>
      <c r="O112" t="s">
        <v>59</v>
      </c>
      <c r="P112" t="s">
        <v>138</v>
      </c>
      <c r="Q112" t="s">
        <v>138</v>
      </c>
      <c r="R112">
        <f>+G112/B2</f>
        <v>179324449658.29</v>
      </c>
    </row>
    <row r="113" spans="9:17" ht="18.75">
      <c r="I113" s="2" t="s">
        <v>70</v>
      </c>
      <c r="J113">
        <v>0.0685</v>
      </c>
      <c r="K113">
        <f>+J113*A2*B2</f>
        <v>64386803.569704</v>
      </c>
      <c r="L113" s="2">
        <f>+K113/M113</f>
        <v>132.2853536150593</v>
      </c>
      <c r="M113">
        <f>+N113*C2</f>
        <v>486726.62399999995</v>
      </c>
      <c r="N113">
        <v>5.63341</v>
      </c>
      <c r="O113">
        <f>+N113/D2</f>
        <v>0.01542343600273785</v>
      </c>
      <c r="P113">
        <f>+F2*9.04</f>
        <v>1.7166959999999998E+28</v>
      </c>
      <c r="Q113" s="2">
        <f>+P113/H2</f>
        <v>7213008403.361343</v>
      </c>
    </row>
    <row r="114" spans="9:18" ht="18.75">
      <c r="I114" s="2" t="s">
        <v>24</v>
      </c>
      <c r="K114">
        <f>+K112*1000</f>
        <v>2660728964.01842</v>
      </c>
      <c r="L114" s="2">
        <f>SQRT(R114)</f>
        <v>20.578318118856156</v>
      </c>
      <c r="M114">
        <f>+K114/L114</f>
        <v>129297688.404397</v>
      </c>
      <c r="N114">
        <f>+M114/C2</f>
        <v>1496.5010231990393</v>
      </c>
      <c r="O114">
        <f>+N114/D2</f>
        <v>4.097196504309485</v>
      </c>
      <c r="P114" t="s">
        <v>55</v>
      </c>
      <c r="Q114" t="s">
        <v>139</v>
      </c>
      <c r="R114">
        <f>+G112/K114</f>
        <v>423.4671766008435</v>
      </c>
    </row>
    <row r="115" spans="1:18" ht="18.75">
      <c r="A115" s="22" t="s">
        <v>0</v>
      </c>
      <c r="B115" s="22" t="s">
        <v>3</v>
      </c>
      <c r="C115" s="22" t="s">
        <v>36</v>
      </c>
      <c r="D115" s="22" t="s">
        <v>38</v>
      </c>
      <c r="E115" s="22" t="s">
        <v>4</v>
      </c>
      <c r="F115" s="22" t="s">
        <v>14</v>
      </c>
      <c r="G115" s="22" t="s">
        <v>41</v>
      </c>
      <c r="H115" s="22" t="s">
        <v>15</v>
      </c>
      <c r="I115" s="31" t="s">
        <v>26</v>
      </c>
      <c r="J115" s="31" t="s">
        <v>108</v>
      </c>
      <c r="K115" s="31" t="s">
        <v>29</v>
      </c>
      <c r="L115" s="31" t="s">
        <v>31</v>
      </c>
      <c r="M115" s="31" t="s">
        <v>23</v>
      </c>
      <c r="N115" s="31" t="s">
        <v>16</v>
      </c>
      <c r="O115" s="31" t="s">
        <v>2</v>
      </c>
      <c r="P115" s="31" t="s">
        <v>13</v>
      </c>
      <c r="Q115" s="31" t="s">
        <v>17</v>
      </c>
      <c r="R115" s="31" t="s">
        <v>109</v>
      </c>
    </row>
    <row r="116" spans="1:17" ht="18.75">
      <c r="A116" s="2"/>
      <c r="B116" s="23"/>
      <c r="C116" s="27" t="s">
        <v>37</v>
      </c>
      <c r="D116" s="28" t="s">
        <v>39</v>
      </c>
      <c r="E116" s="28"/>
      <c r="F116" s="27" t="s">
        <v>40</v>
      </c>
      <c r="G116" s="27" t="s">
        <v>30</v>
      </c>
      <c r="H116" s="27" t="s">
        <v>22</v>
      </c>
      <c r="I116" s="31" t="s">
        <v>27</v>
      </c>
      <c r="J116" s="23" t="s">
        <v>107</v>
      </c>
      <c r="K116" s="31" t="s">
        <v>30</v>
      </c>
      <c r="L116" s="31" t="s">
        <v>32</v>
      </c>
      <c r="M116" s="32"/>
      <c r="N116" s="23" t="s">
        <v>107</v>
      </c>
      <c r="O116" s="32"/>
      <c r="P116" s="23" t="s">
        <v>107</v>
      </c>
      <c r="Q116" s="33"/>
    </row>
    <row r="117" spans="1:18" ht="18.75">
      <c r="A117" s="2" t="s">
        <v>140</v>
      </c>
      <c r="B117" s="3" t="s">
        <v>136</v>
      </c>
      <c r="C117" s="2">
        <v>257</v>
      </c>
      <c r="D117" s="2">
        <f>+G117*H2</f>
        <v>2.3705945022687843E+30</v>
      </c>
      <c r="E117" s="34">
        <f>+D117/E2</f>
        <v>1.1918524395519279</v>
      </c>
      <c r="F117" s="2">
        <f>+H2/(G117*L117)</f>
        <v>6.00132194324474</v>
      </c>
      <c r="G117" s="2">
        <f>+K118*L118*L118</f>
        <v>996048110196.9681</v>
      </c>
      <c r="H117" s="2">
        <f>+G117/A2/B2</f>
        <v>1059.678253395954</v>
      </c>
      <c r="I117" s="2" t="s">
        <v>25</v>
      </c>
      <c r="J117" t="s">
        <v>129</v>
      </c>
      <c r="K117">
        <f>+L117*B2</f>
        <v>2501673.33718645</v>
      </c>
      <c r="L117" s="2">
        <f>SQRT(R117)</f>
        <v>398152.7465601048</v>
      </c>
      <c r="M117" t="s">
        <v>141</v>
      </c>
      <c r="N117" t="s">
        <v>142</v>
      </c>
      <c r="O117" t="s">
        <v>138</v>
      </c>
      <c r="P117" t="s">
        <v>138</v>
      </c>
      <c r="Q117" t="s">
        <v>66</v>
      </c>
      <c r="R117">
        <f>+G117/B2</f>
        <v>158525609593.355</v>
      </c>
    </row>
    <row r="118" spans="9:17" ht="18.75">
      <c r="I118" s="2" t="s">
        <v>49</v>
      </c>
      <c r="J118">
        <v>0.042</v>
      </c>
      <c r="K118">
        <f>+J118*A2*B2</f>
        <v>39478040.144928</v>
      </c>
      <c r="L118" s="2">
        <f>+K118/M118</f>
        <v>158.84090973255465</v>
      </c>
      <c r="M118">
        <f>+N118*C2</f>
        <v>248538.24</v>
      </c>
      <c r="N118">
        <v>2.8766</v>
      </c>
      <c r="O118">
        <f>+N118/D2</f>
        <v>0.007875701574264203</v>
      </c>
      <c r="P118">
        <f>+F2*0.36</f>
        <v>6.8364E+26</v>
      </c>
      <c r="Q118" s="2">
        <f>+P118/H2</f>
        <v>287243697.47899157</v>
      </c>
    </row>
    <row r="119" spans="9:18" ht="18.75">
      <c r="I119" s="2" t="s">
        <v>24</v>
      </c>
      <c r="J119" s="2">
        <f>+K119/A2/B2</f>
        <v>2.661486734805146</v>
      </c>
      <c r="K119">
        <f>+K117*1000</f>
        <v>2501673337.18645</v>
      </c>
      <c r="L119" s="2">
        <f>SQRT(R119)</f>
        <v>19.953765222636672</v>
      </c>
      <c r="M119">
        <f>+K119/L119</f>
        <v>125373497.64687073</v>
      </c>
      <c r="N119">
        <f>+M119/C2</f>
        <v>1451.0821486906334</v>
      </c>
      <c r="O119" s="6">
        <f>+N119/D2</f>
        <v>3.9728464029859913</v>
      </c>
      <c r="P119" t="s">
        <v>143</v>
      </c>
      <c r="Q119" t="s">
        <v>42</v>
      </c>
      <c r="R119">
        <f>+G117/K119</f>
        <v>398.1527465601048</v>
      </c>
    </row>
    <row r="120" spans="1:18" ht="18.75">
      <c r="A120" s="22" t="s">
        <v>0</v>
      </c>
      <c r="B120" s="22" t="s">
        <v>3</v>
      </c>
      <c r="C120" s="22" t="s">
        <v>36</v>
      </c>
      <c r="D120" s="22" t="s">
        <v>38</v>
      </c>
      <c r="E120" s="22" t="s">
        <v>4</v>
      </c>
      <c r="F120" s="22" t="s">
        <v>14</v>
      </c>
      <c r="G120" s="22" t="s">
        <v>41</v>
      </c>
      <c r="H120" s="22" t="s">
        <v>15</v>
      </c>
      <c r="I120" s="31" t="s">
        <v>26</v>
      </c>
      <c r="J120" s="31" t="s">
        <v>108</v>
      </c>
      <c r="K120" s="31" t="s">
        <v>29</v>
      </c>
      <c r="L120" s="31" t="s">
        <v>31</v>
      </c>
      <c r="M120" s="31" t="s">
        <v>23</v>
      </c>
      <c r="N120" s="31" t="s">
        <v>16</v>
      </c>
      <c r="O120" s="31" t="s">
        <v>2</v>
      </c>
      <c r="P120" s="31" t="s">
        <v>13</v>
      </c>
      <c r="Q120" s="31" t="s">
        <v>17</v>
      </c>
      <c r="R120" s="31" t="s">
        <v>109</v>
      </c>
    </row>
    <row r="121" spans="1:17" ht="18.75">
      <c r="A121" s="2"/>
      <c r="B121" s="23"/>
      <c r="C121" s="27" t="s">
        <v>37</v>
      </c>
      <c r="D121" s="28" t="s">
        <v>39</v>
      </c>
      <c r="E121" s="28"/>
      <c r="F121" s="27" t="s">
        <v>40</v>
      </c>
      <c r="G121" s="27" t="s">
        <v>30</v>
      </c>
      <c r="H121" s="27" t="s">
        <v>22</v>
      </c>
      <c r="I121" s="31" t="s">
        <v>27</v>
      </c>
      <c r="J121" s="23" t="s">
        <v>107</v>
      </c>
      <c r="K121" s="31" t="s">
        <v>30</v>
      </c>
      <c r="L121" s="31" t="s">
        <v>32</v>
      </c>
      <c r="M121" s="32"/>
      <c r="N121" s="23" t="s">
        <v>107</v>
      </c>
      <c r="O121" s="32"/>
      <c r="P121" s="23" t="s">
        <v>107</v>
      </c>
      <c r="Q121" s="33"/>
    </row>
    <row r="122" spans="1:18" ht="18.75">
      <c r="A122" s="2" t="s">
        <v>144</v>
      </c>
      <c r="B122" s="2" t="s">
        <v>145</v>
      </c>
      <c r="C122" s="2">
        <v>6000</v>
      </c>
      <c r="D122" s="2">
        <f>+G122*H2</f>
        <v>1.9846769415005484E+30</v>
      </c>
      <c r="E122" s="2">
        <f>+D122/E2</f>
        <v>0.9978265165915277</v>
      </c>
      <c r="F122" s="2">
        <f>+H2/(G122*L122)</f>
        <v>7.834262128892243</v>
      </c>
      <c r="G122" s="2">
        <f>+K123*L123*L123</f>
        <v>833897874580.0624</v>
      </c>
      <c r="H122" s="2">
        <f>+G122/A2/B2</f>
        <v>887.1694391055618</v>
      </c>
      <c r="I122" s="2" t="s">
        <v>25</v>
      </c>
      <c r="J122" t="s">
        <v>146</v>
      </c>
      <c r="K122">
        <f>+L122*B2</f>
        <v>2289005.706755981</v>
      </c>
      <c r="L122" s="2">
        <f>SQRT(R122)</f>
        <v>364305.7210905241</v>
      </c>
      <c r="M122" t="s">
        <v>64</v>
      </c>
      <c r="N122" t="s">
        <v>42</v>
      </c>
      <c r="O122" t="s">
        <v>84</v>
      </c>
      <c r="P122" t="s">
        <v>100</v>
      </c>
      <c r="Q122" t="s">
        <v>66</v>
      </c>
      <c r="R122">
        <f>+G122/B2</f>
        <v>132718658419.28673</v>
      </c>
    </row>
    <row r="123" spans="9:17" ht="18.75">
      <c r="I123" s="2" t="s">
        <v>49</v>
      </c>
      <c r="J123">
        <v>0.04162</v>
      </c>
      <c r="K123">
        <f>+J123*A2*B2</f>
        <v>39120857.87695008</v>
      </c>
      <c r="L123" s="2">
        <f>+K123/M123</f>
        <v>145.99979586209108</v>
      </c>
      <c r="M123">
        <f>+N123*C2</f>
        <v>267951.456</v>
      </c>
      <c r="N123">
        <v>3.10129</v>
      </c>
      <c r="O123">
        <f>+N123/D2</f>
        <v>0.008490869267624915</v>
      </c>
      <c r="P123">
        <f>+F2*0.63</f>
        <v>1.19637E+27</v>
      </c>
      <c r="Q123" s="2">
        <f>+P123/H2</f>
        <v>502676470.58823526</v>
      </c>
    </row>
    <row r="124" spans="9:18" ht="18.75">
      <c r="I124" s="2" t="s">
        <v>24</v>
      </c>
      <c r="J124" s="2">
        <f>+K124/A2/B2</f>
        <v>2.4352333431654083</v>
      </c>
      <c r="K124">
        <f>+K122*1000</f>
        <v>2289005706.755981</v>
      </c>
      <c r="L124" s="2">
        <f>SQRT(R124)</f>
        <v>19.086794416311086</v>
      </c>
      <c r="M124">
        <f>+K124/L124</f>
        <v>119926146.67656583</v>
      </c>
      <c r="N124">
        <f>+M124/C2</f>
        <v>1388.0341050528452</v>
      </c>
      <c r="O124" s="5">
        <f>+N124/D2</f>
        <v>3.800230267085134</v>
      </c>
      <c r="P124" t="s">
        <v>147</v>
      </c>
      <c r="Q124" t="s">
        <v>55</v>
      </c>
      <c r="R124">
        <f>+G122/K124</f>
        <v>364.3057210905241</v>
      </c>
    </row>
    <row r="125" spans="1:18" ht="18.75">
      <c r="A125" s="22" t="s">
        <v>0</v>
      </c>
      <c r="B125" s="22" t="s">
        <v>3</v>
      </c>
      <c r="C125" s="22" t="s">
        <v>36</v>
      </c>
      <c r="D125" s="22" t="s">
        <v>38</v>
      </c>
      <c r="E125" s="22" t="s">
        <v>4</v>
      </c>
      <c r="F125" s="22" t="s">
        <v>14</v>
      </c>
      <c r="G125" s="22" t="s">
        <v>41</v>
      </c>
      <c r="H125" s="22" t="s">
        <v>15</v>
      </c>
      <c r="I125" s="31" t="s">
        <v>26</v>
      </c>
      <c r="J125" s="31" t="s">
        <v>108</v>
      </c>
      <c r="K125" s="31" t="s">
        <v>29</v>
      </c>
      <c r="L125" s="31" t="s">
        <v>31</v>
      </c>
      <c r="M125" s="31" t="s">
        <v>23</v>
      </c>
      <c r="N125" s="31" t="s">
        <v>16</v>
      </c>
      <c r="O125" s="31" t="s">
        <v>2</v>
      </c>
      <c r="P125" s="31" t="s">
        <v>13</v>
      </c>
      <c r="Q125" s="31" t="s">
        <v>17</v>
      </c>
      <c r="R125" s="31" t="s">
        <v>109</v>
      </c>
    </row>
    <row r="126" spans="1:17" ht="18.75">
      <c r="A126" s="2"/>
      <c r="B126" s="23"/>
      <c r="C126" s="27" t="s">
        <v>37</v>
      </c>
      <c r="D126" s="28" t="s">
        <v>39</v>
      </c>
      <c r="E126" s="28"/>
      <c r="F126" s="27" t="s">
        <v>40</v>
      </c>
      <c r="G126" s="27" t="s">
        <v>30</v>
      </c>
      <c r="H126" s="27" t="s">
        <v>22</v>
      </c>
      <c r="I126" s="31" t="s">
        <v>27</v>
      </c>
      <c r="J126" s="23" t="s">
        <v>107</v>
      </c>
      <c r="K126" s="31" t="s">
        <v>30</v>
      </c>
      <c r="L126" s="31" t="s">
        <v>32</v>
      </c>
      <c r="M126" s="32"/>
      <c r="N126" s="23" t="s">
        <v>107</v>
      </c>
      <c r="O126" s="32"/>
      <c r="P126" s="23" t="s">
        <v>107</v>
      </c>
      <c r="Q126" s="33"/>
    </row>
    <row r="127" spans="1:18" ht="18.75">
      <c r="A127" s="3" t="s">
        <v>148</v>
      </c>
      <c r="B127" s="3" t="s">
        <v>136</v>
      </c>
      <c r="C127" s="2">
        <v>1600</v>
      </c>
      <c r="D127" s="2">
        <f>+G127*H2</f>
        <v>1.791352121009764E+30</v>
      </c>
      <c r="E127" s="2">
        <f>+D127/E2</f>
        <v>0.9006295228807261</v>
      </c>
      <c r="F127" s="2">
        <f>+H2/(G127*L127)</f>
        <v>9.136111499767576</v>
      </c>
      <c r="G127" s="2">
        <f>+K128*L128*L128</f>
        <v>752668958407.4639</v>
      </c>
      <c r="H127" s="2">
        <f>+G127/A2/B2</f>
        <v>800.7514085568124</v>
      </c>
      <c r="I127" s="2" t="s">
        <v>25</v>
      </c>
      <c r="J127" t="s">
        <v>146</v>
      </c>
      <c r="K127">
        <f>+L127*B2</f>
        <v>2174665.39942718</v>
      </c>
      <c r="L127" s="2">
        <f>SQRT(R127)</f>
        <v>346107.93853883055</v>
      </c>
      <c r="M127" t="s">
        <v>43</v>
      </c>
      <c r="N127" t="s">
        <v>42</v>
      </c>
      <c r="O127" t="s">
        <v>100</v>
      </c>
      <c r="P127" t="s">
        <v>59</v>
      </c>
      <c r="Q127" t="s">
        <v>73</v>
      </c>
      <c r="R127">
        <f>+G127/B2</f>
        <v>119790705119.5989</v>
      </c>
    </row>
    <row r="128" spans="9:17" ht="18.75">
      <c r="I128" s="2" t="s">
        <v>149</v>
      </c>
      <c r="J128">
        <v>0.0226</v>
      </c>
      <c r="K128">
        <f>+J128*A2*B2</f>
        <v>21242945.4113184</v>
      </c>
      <c r="L128" s="2">
        <f>+K128/M128</f>
        <v>188.23251115236766</v>
      </c>
      <c r="M128">
        <f>+N128*C2</f>
        <v>112854.81599999999</v>
      </c>
      <c r="N128">
        <v>1.30619</v>
      </c>
      <c r="O128">
        <f>+N128/D2</f>
        <v>0.0035761533196440793</v>
      </c>
      <c r="P128">
        <f>+F2*1.92</f>
        <v>3.64608E+27</v>
      </c>
      <c r="Q128" s="2">
        <f>+P128/H2</f>
        <v>1531966386.5546217</v>
      </c>
    </row>
    <row r="129" spans="9:18" ht="18.75">
      <c r="I129" s="2" t="s">
        <v>24</v>
      </c>
      <c r="K129">
        <f>+K127*1000</f>
        <v>2174665399.4271803</v>
      </c>
      <c r="L129" s="2">
        <f>SQRT(R129)</f>
        <v>18.603976417390733</v>
      </c>
      <c r="M129">
        <f>+K129/L129</f>
        <v>116892504.62574947</v>
      </c>
      <c r="N129">
        <f>+M129/C2</f>
        <v>1352.9225072424706</v>
      </c>
      <c r="O129" s="6">
        <f>+N129/D2</f>
        <v>3.7040999513825343</v>
      </c>
      <c r="P129" t="s">
        <v>150</v>
      </c>
      <c r="Q129" t="s">
        <v>60</v>
      </c>
      <c r="R129">
        <f>+G127/K129</f>
        <v>346.1079385388305</v>
      </c>
    </row>
    <row r="130" spans="1:18" ht="18.75">
      <c r="A130" s="22" t="s">
        <v>0</v>
      </c>
      <c r="B130" s="22" t="s">
        <v>3</v>
      </c>
      <c r="C130" s="22" t="s">
        <v>36</v>
      </c>
      <c r="D130" s="22" t="s">
        <v>38</v>
      </c>
      <c r="E130" s="22" t="s">
        <v>4</v>
      </c>
      <c r="F130" s="22" t="s">
        <v>14</v>
      </c>
      <c r="G130" s="22" t="s">
        <v>41</v>
      </c>
      <c r="H130" s="22" t="s">
        <v>15</v>
      </c>
      <c r="I130" s="31" t="s">
        <v>26</v>
      </c>
      <c r="J130" s="31" t="s">
        <v>108</v>
      </c>
      <c r="K130" s="31" t="s">
        <v>29</v>
      </c>
      <c r="L130" s="31" t="s">
        <v>31</v>
      </c>
      <c r="M130" s="31" t="s">
        <v>23</v>
      </c>
      <c r="N130" s="31" t="s">
        <v>16</v>
      </c>
      <c r="O130" s="31" t="s">
        <v>2</v>
      </c>
      <c r="P130" s="31" t="s">
        <v>13</v>
      </c>
      <c r="Q130" s="31" t="s">
        <v>17</v>
      </c>
      <c r="R130" s="31" t="s">
        <v>109</v>
      </c>
    </row>
    <row r="131" spans="1:17" ht="18.75">
      <c r="A131" s="2"/>
      <c r="B131" s="23"/>
      <c r="C131" s="27" t="s">
        <v>37</v>
      </c>
      <c r="D131" s="28" t="s">
        <v>39</v>
      </c>
      <c r="E131" s="28"/>
      <c r="F131" s="27" t="s">
        <v>40</v>
      </c>
      <c r="G131" s="27" t="s">
        <v>30</v>
      </c>
      <c r="H131" s="27" t="s">
        <v>22</v>
      </c>
      <c r="I131" s="31" t="s">
        <v>27</v>
      </c>
      <c r="J131" s="23" t="s">
        <v>107</v>
      </c>
      <c r="K131" s="31" t="s">
        <v>30</v>
      </c>
      <c r="L131" s="31" t="s">
        <v>32</v>
      </c>
      <c r="M131" s="32"/>
      <c r="N131" s="23" t="s">
        <v>107</v>
      </c>
      <c r="O131" s="32"/>
      <c r="P131" s="23" t="s">
        <v>107</v>
      </c>
      <c r="Q131" s="33"/>
    </row>
    <row r="132" spans="1:18" ht="18.75">
      <c r="A132" s="3" t="s">
        <v>151</v>
      </c>
      <c r="B132" s="3" t="s">
        <v>136</v>
      </c>
      <c r="C132" s="2">
        <v>1400</v>
      </c>
      <c r="D132" s="2">
        <f>+G132*H2</f>
        <v>2.4361634040787863E+30</v>
      </c>
      <c r="E132" s="2">
        <f>+D132/E2</f>
        <v>1.2248182021512248</v>
      </c>
      <c r="F132" s="2">
        <f>+H2/(G132*L132)</f>
        <v>5.760672849052603</v>
      </c>
      <c r="G132" s="2">
        <f>+K133*L133*L133</f>
        <v>1023598068940.6665</v>
      </c>
      <c r="H132" s="2">
        <f>+G132/A2/B2</f>
        <v>1088.9881751394728</v>
      </c>
      <c r="I132" s="2" t="s">
        <v>25</v>
      </c>
      <c r="J132" t="s">
        <v>153</v>
      </c>
      <c r="K132">
        <f>+L132*B2</f>
        <v>2536034.579174345</v>
      </c>
      <c r="L132" s="2">
        <f>SQRT(R132)</f>
        <v>403621.4952849416</v>
      </c>
      <c r="M132" t="s">
        <v>143</v>
      </c>
      <c r="N132" t="s">
        <v>55</v>
      </c>
      <c r="O132" t="s">
        <v>88</v>
      </c>
      <c r="P132" t="s">
        <v>56</v>
      </c>
      <c r="Q132" t="s">
        <v>84</v>
      </c>
      <c r="R132">
        <f>+G132/B2</f>
        <v>162910311456.0521</v>
      </c>
    </row>
    <row r="133" spans="9:17" ht="18.75">
      <c r="I133" s="2" t="s">
        <v>152</v>
      </c>
      <c r="J133">
        <v>0.0488</v>
      </c>
      <c r="K133">
        <f>+J133*A2*B2</f>
        <v>45869722.8350592</v>
      </c>
      <c r="L133" s="2">
        <f>+K133/M133</f>
        <v>149.38316992812838</v>
      </c>
      <c r="M133">
        <f>+N133*C2</f>
        <v>307060.848</v>
      </c>
      <c r="N133">
        <v>3.553945</v>
      </c>
      <c r="O133">
        <f>+N133/D2</f>
        <v>0.009730171115674197</v>
      </c>
      <c r="P133">
        <f>+F2*0.84</f>
        <v>1.59516E+27</v>
      </c>
      <c r="Q133" s="2">
        <f>+P133/H2</f>
        <v>670235294.117647</v>
      </c>
    </row>
    <row r="134" spans="9:18" ht="18.75">
      <c r="I134" s="2" t="s">
        <v>24</v>
      </c>
      <c r="J134" s="2">
        <f>+K134/A2/B2</f>
        <v>2.6980430622771676</v>
      </c>
      <c r="K134">
        <f>+K132*1000</f>
        <v>2536034579.174345</v>
      </c>
      <c r="L134" s="2">
        <f>SQRT(R134)</f>
        <v>20.090333379138873</v>
      </c>
      <c r="M134">
        <f>+K134/L134</f>
        <v>126231582.68780538</v>
      </c>
      <c r="N134">
        <f>+M134/C2</f>
        <v>1461.013688516266</v>
      </c>
      <c r="O134" s="3">
        <f>+N134/D2</f>
        <v>4.0000374771150335</v>
      </c>
      <c r="P134" t="s">
        <v>1</v>
      </c>
      <c r="Q134" t="s">
        <v>65</v>
      </c>
      <c r="R134">
        <f>+G132/K134</f>
        <v>403.6214952849415</v>
      </c>
    </row>
    <row r="135" spans="1:18" ht="18.75">
      <c r="A135" s="22" t="s">
        <v>0</v>
      </c>
      <c r="B135" s="22" t="s">
        <v>3</v>
      </c>
      <c r="C135" s="22" t="s">
        <v>36</v>
      </c>
      <c r="D135" s="22" t="s">
        <v>38</v>
      </c>
      <c r="E135" s="22" t="s">
        <v>4</v>
      </c>
      <c r="F135" s="22" t="s">
        <v>14</v>
      </c>
      <c r="G135" s="22" t="s">
        <v>41</v>
      </c>
      <c r="H135" s="22" t="s">
        <v>15</v>
      </c>
      <c r="I135" s="31" t="s">
        <v>26</v>
      </c>
      <c r="J135" s="31" t="s">
        <v>108</v>
      </c>
      <c r="K135" s="31" t="s">
        <v>29</v>
      </c>
      <c r="L135" s="31" t="s">
        <v>31</v>
      </c>
      <c r="M135" s="31" t="s">
        <v>23</v>
      </c>
      <c r="N135" s="31" t="s">
        <v>16</v>
      </c>
      <c r="O135" s="31" t="s">
        <v>2</v>
      </c>
      <c r="P135" s="31" t="s">
        <v>13</v>
      </c>
      <c r="Q135" s="31" t="s">
        <v>17</v>
      </c>
      <c r="R135" s="31" t="s">
        <v>109</v>
      </c>
    </row>
    <row r="136" spans="1:17" ht="18.75">
      <c r="A136" s="2"/>
      <c r="B136" s="23"/>
      <c r="C136" s="27" t="s">
        <v>37</v>
      </c>
      <c r="D136" s="28" t="s">
        <v>39</v>
      </c>
      <c r="E136" s="28"/>
      <c r="F136" s="27" t="s">
        <v>40</v>
      </c>
      <c r="G136" s="27" t="s">
        <v>30</v>
      </c>
      <c r="H136" s="27" t="s">
        <v>22</v>
      </c>
      <c r="I136" s="31" t="s">
        <v>27</v>
      </c>
      <c r="J136" s="23" t="s">
        <v>107</v>
      </c>
      <c r="K136" s="31" t="s">
        <v>30</v>
      </c>
      <c r="L136" s="31" t="s">
        <v>32</v>
      </c>
      <c r="M136" s="32"/>
      <c r="N136" s="23" t="s">
        <v>107</v>
      </c>
      <c r="O136" s="32"/>
      <c r="P136" s="23" t="s">
        <v>107</v>
      </c>
      <c r="Q136" s="33"/>
    </row>
    <row r="137" spans="1:18" ht="18.75">
      <c r="A137" s="2" t="s">
        <v>154</v>
      </c>
      <c r="B137" s="3" t="s">
        <v>145</v>
      </c>
      <c r="C137" s="2">
        <v>4892</v>
      </c>
      <c r="D137" s="2">
        <f>+G137*H2</f>
        <v>2.0534110127492544E+30</v>
      </c>
      <c r="E137" s="2">
        <f>+D137/E2</f>
        <v>1.0323836162640796</v>
      </c>
      <c r="F137" s="2">
        <f>+H2/(G137*L137)</f>
        <v>7.444216655413617</v>
      </c>
      <c r="G137" s="2">
        <f>+K138*L138*L138</f>
        <v>862777736449.2666</v>
      </c>
      <c r="H137" s="2">
        <f>+G137/A2/B2</f>
        <v>917.8942216442514</v>
      </c>
      <c r="I137" s="2" t="s">
        <v>25</v>
      </c>
      <c r="J137" t="s">
        <v>155</v>
      </c>
      <c r="K137">
        <f>+L137*B2</f>
        <v>2328305.193409582</v>
      </c>
      <c r="L137" s="2">
        <f>SQRT(R137)</f>
        <v>370560.41402622586</v>
      </c>
      <c r="M137" t="s">
        <v>53</v>
      </c>
      <c r="N137" t="s">
        <v>55</v>
      </c>
      <c r="O137" t="s">
        <v>42</v>
      </c>
      <c r="P137" t="s">
        <v>59</v>
      </c>
      <c r="Q137" t="s">
        <v>65</v>
      </c>
      <c r="R137">
        <f>+G137/B2</f>
        <v>137315020443.28792</v>
      </c>
    </row>
    <row r="138" spans="9:17" ht="18.75">
      <c r="I138" s="2" t="s">
        <v>49</v>
      </c>
      <c r="J138">
        <v>0.0225</v>
      </c>
      <c r="K138">
        <f>+J138*A2*B2</f>
        <v>21148950.077639997</v>
      </c>
      <c r="L138" s="2">
        <f>+K138/M138</f>
        <v>201.97846107876086</v>
      </c>
      <c r="M138">
        <f>+N138*C2</f>
        <v>104708.93759999999</v>
      </c>
      <c r="N138">
        <v>1.211909</v>
      </c>
      <c r="O138">
        <f>+N138/D2</f>
        <v>0.0033180260095824776</v>
      </c>
      <c r="P138">
        <f>+F2*1.29</f>
        <v>2.4497100000000002E+27</v>
      </c>
      <c r="Q138" s="3">
        <f>+P138/H2</f>
        <v>1029289915.9663867</v>
      </c>
    </row>
    <row r="139" spans="9:18" ht="18.75">
      <c r="I139" s="2" t="s">
        <v>24</v>
      </c>
      <c r="J139" s="2">
        <f>+K139/A2/B2</f>
        <v>2.477043383212781</v>
      </c>
      <c r="K139">
        <f>+K137*1000</f>
        <v>2328305193.409582</v>
      </c>
      <c r="L139" s="2">
        <f>SQRT(R139)</f>
        <v>19.24994581878676</v>
      </c>
      <c r="M139">
        <f>+K139/L139</f>
        <v>120951259.56860097</v>
      </c>
      <c r="N139">
        <f>+M139/C2</f>
        <v>1399.8988375995482</v>
      </c>
      <c r="O139" s="3">
        <f>+N139/D2</f>
        <v>3.8327141344272366</v>
      </c>
      <c r="P139" t="s">
        <v>55</v>
      </c>
      <c r="Q139" t="s">
        <v>1</v>
      </c>
      <c r="R139">
        <f>+G137/K139</f>
        <v>370.5604140262258</v>
      </c>
    </row>
    <row r="140" spans="1:18" ht="18.75">
      <c r="A140" s="22" t="s">
        <v>0</v>
      </c>
      <c r="B140" s="22" t="s">
        <v>3</v>
      </c>
      <c r="C140" s="22" t="s">
        <v>36</v>
      </c>
      <c r="D140" s="22" t="s">
        <v>38</v>
      </c>
      <c r="E140" s="22" t="s">
        <v>4</v>
      </c>
      <c r="F140" s="22" t="s">
        <v>14</v>
      </c>
      <c r="G140" s="22" t="s">
        <v>41</v>
      </c>
      <c r="H140" s="22" t="s">
        <v>15</v>
      </c>
      <c r="I140" s="31" t="s">
        <v>26</v>
      </c>
      <c r="J140" s="31" t="s">
        <v>108</v>
      </c>
      <c r="K140" s="31" t="s">
        <v>29</v>
      </c>
      <c r="L140" s="31" t="s">
        <v>31</v>
      </c>
      <c r="M140" s="31" t="s">
        <v>23</v>
      </c>
      <c r="N140" s="31" t="s">
        <v>16</v>
      </c>
      <c r="O140" s="31" t="s">
        <v>2</v>
      </c>
      <c r="P140" s="31" t="s">
        <v>13</v>
      </c>
      <c r="Q140" s="31" t="s">
        <v>17</v>
      </c>
      <c r="R140" s="31" t="s">
        <v>109</v>
      </c>
    </row>
    <row r="141" spans="1:17" ht="18.75">
      <c r="A141" s="2"/>
      <c r="B141" s="23"/>
      <c r="C141" s="27" t="s">
        <v>37</v>
      </c>
      <c r="D141" s="28" t="s">
        <v>39</v>
      </c>
      <c r="E141" s="28"/>
      <c r="F141" s="27" t="s">
        <v>40</v>
      </c>
      <c r="G141" s="27" t="s">
        <v>30</v>
      </c>
      <c r="H141" s="27" t="s">
        <v>22</v>
      </c>
      <c r="I141" s="31" t="s">
        <v>27</v>
      </c>
      <c r="J141" s="23" t="s">
        <v>107</v>
      </c>
      <c r="K141" s="31" t="s">
        <v>30</v>
      </c>
      <c r="L141" s="31" t="s">
        <v>32</v>
      </c>
      <c r="M141" s="32"/>
      <c r="N141" s="23" t="s">
        <v>107</v>
      </c>
      <c r="O141" s="32"/>
      <c r="P141" s="23" t="s">
        <v>107</v>
      </c>
      <c r="Q141" s="33"/>
    </row>
    <row r="142" spans="1:18" ht="18.75">
      <c r="A142" s="2" t="s">
        <v>156</v>
      </c>
      <c r="B142" s="3" t="s">
        <v>145</v>
      </c>
      <c r="C142" s="3">
        <v>6500</v>
      </c>
      <c r="D142" s="2">
        <f>+G142*H2</f>
        <v>2.49722596344445E+30</v>
      </c>
      <c r="E142" s="2">
        <f>+D142/E2</f>
        <v>1.2555183325512569</v>
      </c>
      <c r="F142" s="2">
        <f>+H2/(G142*L142)</f>
        <v>5.5506784851802</v>
      </c>
      <c r="G142" s="2">
        <f>+K143*L143*L143</f>
        <v>1049254606489.2646</v>
      </c>
      <c r="H142" s="2">
        <f>+G142/A2/B2</f>
        <v>1116.2837190186835</v>
      </c>
      <c r="I142" s="2" t="s">
        <v>25</v>
      </c>
      <c r="J142" t="s">
        <v>53</v>
      </c>
      <c r="K142">
        <f>+L142*B2</f>
        <v>2567620.794333413</v>
      </c>
      <c r="L142" s="2">
        <f>SQRT(R142)</f>
        <v>408648.585805547</v>
      </c>
      <c r="M142" t="s">
        <v>34</v>
      </c>
      <c r="N142" t="s">
        <v>65</v>
      </c>
      <c r="O142" t="s">
        <v>157</v>
      </c>
      <c r="P142" t="s">
        <v>66</v>
      </c>
      <c r="Q142" t="s">
        <v>65</v>
      </c>
      <c r="R142">
        <f>+G142/B2</f>
        <v>166993666680.87354</v>
      </c>
    </row>
    <row r="143" spans="9:17" ht="18.75">
      <c r="I143" s="2" t="s">
        <v>49</v>
      </c>
      <c r="J143">
        <v>0.055</v>
      </c>
      <c r="K143">
        <f>+J143*A2*B2</f>
        <v>51697433.52311999</v>
      </c>
      <c r="L143" s="2">
        <f>+K143/M143</f>
        <v>142.4642678657407</v>
      </c>
      <c r="M143">
        <f>+N143*C2</f>
        <v>362880</v>
      </c>
      <c r="N143">
        <v>4.2</v>
      </c>
      <c r="O143">
        <f>+N143/D2</f>
        <v>0.011498973305954827</v>
      </c>
      <c r="P143">
        <f>+F2/3.8</f>
        <v>4.9973684210526317E+26</v>
      </c>
      <c r="Q143" s="2">
        <f>+P143/H2</f>
        <v>209973463.0694383</v>
      </c>
    </row>
    <row r="144" spans="9:18" ht="18.75">
      <c r="I144" s="2" t="s">
        <v>24</v>
      </c>
      <c r="J144" s="2">
        <f>+K144/A2/B2</f>
        <v>2.7316470869909244</v>
      </c>
      <c r="K144">
        <f>+K142*1000</f>
        <v>2567620794.3334126</v>
      </c>
      <c r="L144" s="2">
        <f>SQRT(R144)</f>
        <v>20.215058392335827</v>
      </c>
      <c r="M144">
        <f>+K144/L144</f>
        <v>127015254.8907244</v>
      </c>
      <c r="N144">
        <f>+M144/C2</f>
        <v>1470.0839686426436</v>
      </c>
      <c r="O144" s="3">
        <f>+N144/D2</f>
        <v>4.024870550698545</v>
      </c>
      <c r="P144" t="s">
        <v>53</v>
      </c>
      <c r="Q144" t="s">
        <v>87</v>
      </c>
      <c r="R144">
        <f>+G142/K144</f>
        <v>408.6485858055471</v>
      </c>
    </row>
    <row r="145" spans="1:18" ht="18.75">
      <c r="A145" s="22" t="s">
        <v>0</v>
      </c>
      <c r="B145" s="22" t="s">
        <v>3</v>
      </c>
      <c r="C145" s="22" t="s">
        <v>36</v>
      </c>
      <c r="D145" s="22" t="s">
        <v>38</v>
      </c>
      <c r="E145" s="22" t="s">
        <v>4</v>
      </c>
      <c r="F145" s="22" t="s">
        <v>14</v>
      </c>
      <c r="G145" s="22" t="s">
        <v>41</v>
      </c>
      <c r="H145" s="22" t="s">
        <v>15</v>
      </c>
      <c r="I145" s="31" t="s">
        <v>26</v>
      </c>
      <c r="J145" s="31" t="s">
        <v>108</v>
      </c>
      <c r="K145" s="31" t="s">
        <v>29</v>
      </c>
      <c r="L145" s="31" t="s">
        <v>31</v>
      </c>
      <c r="M145" s="31" t="s">
        <v>23</v>
      </c>
      <c r="N145" s="31" t="s">
        <v>16</v>
      </c>
      <c r="O145" s="31" t="s">
        <v>2</v>
      </c>
      <c r="P145" s="31" t="s">
        <v>13</v>
      </c>
      <c r="Q145" s="31" t="s">
        <v>17</v>
      </c>
      <c r="R145" s="31" t="s">
        <v>109</v>
      </c>
    </row>
    <row r="146" spans="1:17" ht="18.75">
      <c r="A146" s="2"/>
      <c r="B146" s="23"/>
      <c r="C146" s="27" t="s">
        <v>37</v>
      </c>
      <c r="D146" s="28" t="s">
        <v>39</v>
      </c>
      <c r="E146" s="28"/>
      <c r="F146" s="27" t="s">
        <v>40</v>
      </c>
      <c r="G146" s="27" t="s">
        <v>30</v>
      </c>
      <c r="H146" s="27" t="s">
        <v>22</v>
      </c>
      <c r="I146" s="31" t="s">
        <v>27</v>
      </c>
      <c r="J146" s="23" t="s">
        <v>107</v>
      </c>
      <c r="K146" s="31" t="s">
        <v>30</v>
      </c>
      <c r="L146" s="31" t="s">
        <v>32</v>
      </c>
      <c r="M146" s="32"/>
      <c r="N146" s="23" t="s">
        <v>107</v>
      </c>
      <c r="O146" s="32"/>
      <c r="P146" s="23" t="s">
        <v>107</v>
      </c>
      <c r="Q146" s="33"/>
    </row>
    <row r="147" spans="1:18" ht="18.75">
      <c r="A147" s="2" t="s">
        <v>158</v>
      </c>
      <c r="B147" s="3" t="s">
        <v>145</v>
      </c>
      <c r="C147" s="3">
        <v>22000</v>
      </c>
      <c r="D147" s="2">
        <f>+G147*H2</f>
        <v>2.216253596700194E+30</v>
      </c>
      <c r="E147" s="2">
        <f>+D147/E2</f>
        <v>1.114255201960882</v>
      </c>
      <c r="F147" s="2">
        <f>+H2/(G147*L147)</f>
        <v>6.6390150703475515</v>
      </c>
      <c r="G147" s="2">
        <f>+K148*L148*L148</f>
        <v>931198990210.1655</v>
      </c>
      <c r="H147" s="2">
        <f>+G147/A2/B2</f>
        <v>990.6864030040182</v>
      </c>
      <c r="I147" s="2" t="s">
        <v>25</v>
      </c>
      <c r="J147" t="s">
        <v>159</v>
      </c>
      <c r="K147">
        <f>+L147*B2</f>
        <v>2418865.3321936945</v>
      </c>
      <c r="L147" s="2">
        <f>SQRT(R147)</f>
        <v>384973.4740568014</v>
      </c>
      <c r="M147" t="s">
        <v>55</v>
      </c>
      <c r="N147" t="s">
        <v>59</v>
      </c>
      <c r="O147" t="s">
        <v>65</v>
      </c>
      <c r="P147" t="s">
        <v>43</v>
      </c>
      <c r="Q147" t="s">
        <v>43</v>
      </c>
      <c r="R147">
        <f>+G147/B2</f>
        <v>148204575727.36273</v>
      </c>
    </row>
    <row r="148" spans="9:17" ht="18.75">
      <c r="I148" s="2" t="s">
        <v>49</v>
      </c>
      <c r="J148">
        <v>0.03</v>
      </c>
      <c r="K148">
        <f>+J148*A2*B2</f>
        <v>28198600.10352</v>
      </c>
      <c r="L148" s="2">
        <f>+K148/M148</f>
        <v>181.72198573682257</v>
      </c>
      <c r="M148">
        <f>+N148*C2</f>
        <v>155174.4</v>
      </c>
      <c r="N148">
        <v>1.796</v>
      </c>
      <c r="O148">
        <f>+N148/D2</f>
        <v>0.004917180013689254</v>
      </c>
      <c r="P148">
        <f>+F2*9.7</f>
        <v>1.84203E+28</v>
      </c>
      <c r="Q148" s="3">
        <f>+P148/H2</f>
        <v>7739621848.739496</v>
      </c>
    </row>
    <row r="149" spans="9:18" ht="18.75">
      <c r="I149" s="2" t="s">
        <v>24</v>
      </c>
      <c r="J149" s="2">
        <f>+K149/A2/B2</f>
        <v>2.5733887391364694</v>
      </c>
      <c r="K149">
        <f>+K147*1000</f>
        <v>2418865332.1936946</v>
      </c>
      <c r="L149" s="2">
        <f>SQRT(R149)</f>
        <v>19.620740915082727</v>
      </c>
      <c r="M149">
        <f>+K149/L149</f>
        <v>123281039.3176478</v>
      </c>
      <c r="N149">
        <f>+M149/C2</f>
        <v>1426.863880991294</v>
      </c>
      <c r="O149" s="3">
        <f>+N149/D2</f>
        <v>3.9065403997023793</v>
      </c>
      <c r="P149" t="s">
        <v>141</v>
      </c>
      <c r="Q149" t="s">
        <v>34</v>
      </c>
      <c r="R149">
        <f>+G147/K149</f>
        <v>384.97347405680136</v>
      </c>
    </row>
    <row r="150" spans="1:18" ht="18.75">
      <c r="A150" s="22" t="s">
        <v>0</v>
      </c>
      <c r="B150" s="22" t="s">
        <v>3</v>
      </c>
      <c r="C150" s="22" t="s">
        <v>36</v>
      </c>
      <c r="D150" s="22" t="s">
        <v>38</v>
      </c>
      <c r="E150" s="22" t="s">
        <v>4</v>
      </c>
      <c r="F150" s="22" t="s">
        <v>14</v>
      </c>
      <c r="G150" s="22" t="s">
        <v>41</v>
      </c>
      <c r="H150" s="22" t="s">
        <v>15</v>
      </c>
      <c r="I150" s="31" t="s">
        <v>26</v>
      </c>
      <c r="J150" s="31" t="s">
        <v>108</v>
      </c>
      <c r="K150" s="31" t="s">
        <v>29</v>
      </c>
      <c r="L150" s="31" t="s">
        <v>31</v>
      </c>
      <c r="M150" s="31" t="s">
        <v>23</v>
      </c>
      <c r="N150" s="31" t="s">
        <v>16</v>
      </c>
      <c r="O150" s="31" t="s">
        <v>2</v>
      </c>
      <c r="P150" s="31" t="s">
        <v>13</v>
      </c>
      <c r="Q150" s="31" t="s">
        <v>17</v>
      </c>
      <c r="R150" s="31" t="s">
        <v>109</v>
      </c>
    </row>
    <row r="151" spans="1:17" ht="18.75">
      <c r="A151" s="2"/>
      <c r="B151" s="23"/>
      <c r="C151" s="27" t="s">
        <v>37</v>
      </c>
      <c r="D151" s="28" t="s">
        <v>39</v>
      </c>
      <c r="E151" s="28"/>
      <c r="F151" s="27" t="s">
        <v>40</v>
      </c>
      <c r="G151" s="27" t="s">
        <v>30</v>
      </c>
      <c r="H151" s="27" t="s">
        <v>22</v>
      </c>
      <c r="I151" s="31" t="s">
        <v>27</v>
      </c>
      <c r="J151" s="23" t="s">
        <v>107</v>
      </c>
      <c r="K151" s="31" t="s">
        <v>30</v>
      </c>
      <c r="L151" s="31" t="s">
        <v>32</v>
      </c>
      <c r="M151" s="32"/>
      <c r="N151" s="23" t="s">
        <v>107</v>
      </c>
      <c r="O151" s="32"/>
      <c r="P151" s="23" t="s">
        <v>107</v>
      </c>
      <c r="Q151" s="33"/>
    </row>
    <row r="152" spans="1:18" ht="18.75">
      <c r="A152" s="2" t="s">
        <v>160</v>
      </c>
      <c r="B152" s="3" t="s">
        <v>145</v>
      </c>
      <c r="C152" s="3">
        <v>19000</v>
      </c>
      <c r="D152" s="2">
        <f>+E2*0.63</f>
        <v>1.25307E+30</v>
      </c>
      <c r="E152" s="2">
        <f>+D152/E2</f>
        <v>0.63</v>
      </c>
      <c r="F152" s="2">
        <f>+H2/(G152*L152)</f>
        <v>15.616001273416313</v>
      </c>
      <c r="G152" s="2">
        <f>+D152/H2</f>
        <v>526500000000</v>
      </c>
      <c r="H152" s="2">
        <f>+G152/A2/B2</f>
        <v>560.1341890028197</v>
      </c>
      <c r="I152" s="2" t="s">
        <v>25</v>
      </c>
      <c r="J152" t="s">
        <v>163</v>
      </c>
      <c r="K152">
        <f>+L152*B2</f>
        <v>1818819.617224314</v>
      </c>
      <c r="L152" s="2">
        <f>SQRT(R152)</f>
        <v>289473.455758899</v>
      </c>
      <c r="M152" t="s">
        <v>147</v>
      </c>
      <c r="N152" t="s">
        <v>34</v>
      </c>
      <c r="O152" t="s">
        <v>55</v>
      </c>
      <c r="P152" t="s">
        <v>59</v>
      </c>
      <c r="Q152" t="s">
        <v>141</v>
      </c>
      <c r="R152">
        <f>+G152/B2</f>
        <v>83794881588.99924</v>
      </c>
    </row>
    <row r="153" spans="1:18" ht="18.75">
      <c r="A153" s="2" t="s">
        <v>161</v>
      </c>
      <c r="I153" s="2" t="s">
        <v>49</v>
      </c>
      <c r="J153">
        <v>4.3</v>
      </c>
      <c r="K153">
        <f>+J153*A2*B2</f>
        <v>4041799348.1712</v>
      </c>
      <c r="L153" s="2">
        <f>SQRT(R153)</f>
        <v>11.413315245115095</v>
      </c>
      <c r="M153">
        <f>+K153/L153</f>
        <v>354130177.0229375</v>
      </c>
      <c r="N153">
        <f>+M153/C2</f>
        <v>4098.728900728443</v>
      </c>
      <c r="O153">
        <f>+N153/D2</f>
        <v>11.22170814710046</v>
      </c>
      <c r="P153">
        <f>+F2*2.6</f>
        <v>4.9374E+27</v>
      </c>
      <c r="Q153" s="2">
        <f>+P153/H2</f>
        <v>2074537815.1260505</v>
      </c>
      <c r="R153">
        <f>+G152/K153</f>
        <v>130.26376488437666</v>
      </c>
    </row>
    <row r="154" spans="1:18" ht="18.75">
      <c r="A154" s="3" t="s">
        <v>162</v>
      </c>
      <c r="I154" s="2" t="s">
        <v>24</v>
      </c>
      <c r="J154" s="2">
        <f>+K154/A2/B2</f>
        <v>1.9350105436588032</v>
      </c>
      <c r="K154">
        <f>+K152*1000</f>
        <v>1818819617.224314</v>
      </c>
      <c r="L154" s="2">
        <f>SQRT(R154)</f>
        <v>17.01391947080093</v>
      </c>
      <c r="M154">
        <f>+K154/L154</f>
        <v>106901858.81893641</v>
      </c>
      <c r="N154">
        <f>+M154/C2</f>
        <v>1237.2900326265787</v>
      </c>
      <c r="O154">
        <f>+N154/D2</f>
        <v>3.387515489737382</v>
      </c>
      <c r="P154" t="s">
        <v>64</v>
      </c>
      <c r="Q154" t="s">
        <v>53</v>
      </c>
      <c r="R154">
        <f>+G152/K154</f>
        <v>289.473455758899</v>
      </c>
    </row>
    <row r="155" spans="1:18" ht="18.75">
      <c r="A155" s="22" t="s">
        <v>0</v>
      </c>
      <c r="B155" s="22" t="s">
        <v>3</v>
      </c>
      <c r="C155" s="22" t="s">
        <v>36</v>
      </c>
      <c r="D155" s="22" t="s">
        <v>38</v>
      </c>
      <c r="E155" s="22" t="s">
        <v>4</v>
      </c>
      <c r="F155" s="22" t="s">
        <v>14</v>
      </c>
      <c r="G155" s="22" t="s">
        <v>41</v>
      </c>
      <c r="H155" s="22" t="s">
        <v>15</v>
      </c>
      <c r="I155" s="31" t="s">
        <v>26</v>
      </c>
      <c r="J155" s="31" t="s">
        <v>108</v>
      </c>
      <c r="K155" s="31" t="s">
        <v>29</v>
      </c>
      <c r="L155" s="31" t="s">
        <v>31</v>
      </c>
      <c r="M155" s="31" t="s">
        <v>23</v>
      </c>
      <c r="N155" s="31" t="s">
        <v>16</v>
      </c>
      <c r="O155" s="31" t="s">
        <v>2</v>
      </c>
      <c r="P155" s="31" t="s">
        <v>13</v>
      </c>
      <c r="Q155" s="31" t="s">
        <v>17</v>
      </c>
      <c r="R155" s="31" t="s">
        <v>109</v>
      </c>
    </row>
    <row r="156" spans="1:17" ht="18.75">
      <c r="A156" s="2"/>
      <c r="B156" s="23"/>
      <c r="C156" s="27" t="s">
        <v>37</v>
      </c>
      <c r="D156" s="28" t="s">
        <v>39</v>
      </c>
      <c r="E156" s="28"/>
      <c r="F156" s="27" t="s">
        <v>40</v>
      </c>
      <c r="G156" s="27" t="s">
        <v>30</v>
      </c>
      <c r="H156" s="27" t="s">
        <v>22</v>
      </c>
      <c r="I156" s="31" t="s">
        <v>27</v>
      </c>
      <c r="J156" s="23" t="s">
        <v>107</v>
      </c>
      <c r="K156" s="31" t="s">
        <v>30</v>
      </c>
      <c r="L156" s="31" t="s">
        <v>32</v>
      </c>
      <c r="M156" s="32"/>
      <c r="N156" s="23" t="s">
        <v>107</v>
      </c>
      <c r="O156" s="32"/>
      <c r="P156" s="23" t="s">
        <v>107</v>
      </c>
      <c r="Q156" s="33"/>
    </row>
    <row r="157" spans="1:18" ht="18.75">
      <c r="A157" s="2" t="s">
        <v>165</v>
      </c>
      <c r="B157" s="2" t="s">
        <v>166</v>
      </c>
      <c r="C157" s="2">
        <v>1110</v>
      </c>
      <c r="D157" s="2">
        <f>+G157*H2</f>
        <v>2.304160349420392E+30</v>
      </c>
      <c r="E157" s="2">
        <f>+D157/E2</f>
        <v>1.1584516588337819</v>
      </c>
      <c r="F157" s="2">
        <f>+H2/(G157*L157)</f>
        <v>6.262731406446186</v>
      </c>
      <c r="G157" s="2">
        <f>+K158*L158*L158</f>
        <v>968134600596.8035</v>
      </c>
      <c r="H157" s="2">
        <f>+G157/A2/B2</f>
        <v>1029.9815562219549</v>
      </c>
      <c r="I157" s="2" t="s">
        <v>25</v>
      </c>
      <c r="J157" t="s">
        <v>163</v>
      </c>
      <c r="K157">
        <f>+L157*B2</f>
        <v>2466370.4755104887</v>
      </c>
      <c r="L157" s="5">
        <f>SQRT(R157)</f>
        <v>392534.13475784456</v>
      </c>
      <c r="M157" t="s">
        <v>168</v>
      </c>
      <c r="N157" t="s">
        <v>53</v>
      </c>
      <c r="O157" t="s">
        <v>100</v>
      </c>
      <c r="P157" t="s">
        <v>43</v>
      </c>
      <c r="Q157" t="s">
        <v>97</v>
      </c>
      <c r="R157">
        <f>+G157/B2</f>
        <v>154083046950.0897</v>
      </c>
    </row>
    <row r="158" spans="1:17" ht="18.75">
      <c r="A158" s="2" t="s">
        <v>164</v>
      </c>
      <c r="I158" s="2" t="s">
        <v>167</v>
      </c>
      <c r="J158">
        <v>0.04075</v>
      </c>
      <c r="K158">
        <f>+J158*A2*B2</f>
        <v>38303098.473948</v>
      </c>
      <c r="L158" s="2">
        <f>+K158/M158</f>
        <v>158.98308404223926</v>
      </c>
      <c r="M158">
        <f>+N158*C2</f>
        <v>240925.6224</v>
      </c>
      <c r="N158">
        <v>2.788491</v>
      </c>
      <c r="O158">
        <f>+N158/D2</f>
        <v>0.00763447227926078</v>
      </c>
      <c r="P158">
        <f>+F2*1.06</f>
        <v>2.01294E+27</v>
      </c>
      <c r="Q158" s="2">
        <f>+P158/H2</f>
        <v>845773109.2436975</v>
      </c>
    </row>
    <row r="159" spans="9:18" ht="18.75">
      <c r="I159" s="2" t="s">
        <v>24</v>
      </c>
      <c r="J159" s="2">
        <f>+K159/A2/B2</f>
        <v>2.62392863453099</v>
      </c>
      <c r="K159">
        <f>+K157*1000</f>
        <v>2466370475.5104885</v>
      </c>
      <c r="L159" s="2">
        <f>SQRT(R159)</f>
        <v>19.81247422100139</v>
      </c>
      <c r="M159">
        <f>+K159/L159</f>
        <v>124485738.02539589</v>
      </c>
      <c r="N159">
        <f>+M159/C2</f>
        <v>1440.8071530717116</v>
      </c>
      <c r="O159">
        <f>+N159/D2</f>
        <v>3.9447149981429477</v>
      </c>
      <c r="P159" t="s">
        <v>34</v>
      </c>
      <c r="Q159" t="s">
        <v>34</v>
      </c>
      <c r="R159">
        <f>+G157/K159</f>
        <v>392.53413475784464</v>
      </c>
    </row>
    <row r="160" spans="1:18" ht="18.75">
      <c r="A160" s="22" t="s">
        <v>0</v>
      </c>
      <c r="B160" s="22" t="s">
        <v>3</v>
      </c>
      <c r="C160" s="22" t="s">
        <v>36</v>
      </c>
      <c r="D160" s="22" t="s">
        <v>38</v>
      </c>
      <c r="E160" s="22" t="s">
        <v>4</v>
      </c>
      <c r="F160" s="22" t="s">
        <v>14</v>
      </c>
      <c r="G160" s="22" t="s">
        <v>41</v>
      </c>
      <c r="H160" s="22" t="s">
        <v>15</v>
      </c>
      <c r="I160" s="31" t="s">
        <v>26</v>
      </c>
      <c r="J160" s="31" t="s">
        <v>108</v>
      </c>
      <c r="K160" s="31" t="s">
        <v>29</v>
      </c>
      <c r="L160" s="31" t="s">
        <v>31</v>
      </c>
      <c r="M160" s="31" t="s">
        <v>23</v>
      </c>
      <c r="N160" s="31" t="s">
        <v>16</v>
      </c>
      <c r="O160" s="31" t="s">
        <v>2</v>
      </c>
      <c r="P160" s="31" t="s">
        <v>13</v>
      </c>
      <c r="Q160" s="31" t="s">
        <v>17</v>
      </c>
      <c r="R160" s="31" t="s">
        <v>109</v>
      </c>
    </row>
    <row r="161" spans="1:17" ht="18.75">
      <c r="A161" s="2"/>
      <c r="B161" s="23"/>
      <c r="C161" s="27" t="s">
        <v>37</v>
      </c>
      <c r="D161" s="28" t="s">
        <v>39</v>
      </c>
      <c r="E161" s="28"/>
      <c r="F161" s="27" t="s">
        <v>40</v>
      </c>
      <c r="G161" s="27" t="s">
        <v>30</v>
      </c>
      <c r="H161" s="27" t="s">
        <v>22</v>
      </c>
      <c r="I161" s="31" t="s">
        <v>27</v>
      </c>
      <c r="J161" s="23" t="s">
        <v>107</v>
      </c>
      <c r="K161" s="31" t="s">
        <v>30</v>
      </c>
      <c r="L161" s="31" t="s">
        <v>32</v>
      </c>
      <c r="M161" s="32"/>
      <c r="N161" s="23" t="s">
        <v>107</v>
      </c>
      <c r="O161" s="32"/>
      <c r="P161" s="23" t="s">
        <v>107</v>
      </c>
      <c r="Q161" s="33"/>
    </row>
    <row r="162" spans="1:18" ht="18.75">
      <c r="A162" s="2" t="s">
        <v>169</v>
      </c>
      <c r="B162" s="2" t="s">
        <v>166</v>
      </c>
      <c r="C162" s="2">
        <v>512</v>
      </c>
      <c r="D162" s="2">
        <f>+G162*H2</f>
        <v>1.7504944898295664E+30</v>
      </c>
      <c r="E162" s="2">
        <f>+D162/E2</f>
        <v>0.8800877274155688</v>
      </c>
      <c r="F162" s="2">
        <f>+H2/(G162*L162)</f>
        <v>9.45783455218322</v>
      </c>
      <c r="G162" s="2">
        <f>+K163*L163*L163</f>
        <v>735501886483.0111</v>
      </c>
      <c r="H162" s="2">
        <f>+G162/A2/B2</f>
        <v>782.487659440086</v>
      </c>
      <c r="I162" s="2" t="s">
        <v>25</v>
      </c>
      <c r="J162" t="s">
        <v>163</v>
      </c>
      <c r="K162">
        <f>+L162*B2</f>
        <v>2149722.180457292</v>
      </c>
      <c r="L162" s="2">
        <f>SQRT(R162)</f>
        <v>342138.1112263325</v>
      </c>
      <c r="M162" t="s">
        <v>172</v>
      </c>
      <c r="N162" t="s">
        <v>64</v>
      </c>
      <c r="O162" t="s">
        <v>91</v>
      </c>
      <c r="P162" t="s">
        <v>60</v>
      </c>
      <c r="Q162" t="s">
        <v>111</v>
      </c>
      <c r="R162">
        <f>+G162/B2</f>
        <v>117058487153.52226</v>
      </c>
    </row>
    <row r="163" spans="1:17" ht="18.75">
      <c r="A163" s="2" t="s">
        <v>170</v>
      </c>
      <c r="I163" s="2" t="s">
        <v>171</v>
      </c>
      <c r="J163">
        <v>0.0393</v>
      </c>
      <c r="K163">
        <f>+J163*A2*B2</f>
        <v>36940166.1356112</v>
      </c>
      <c r="L163" s="2">
        <f>+K163/M163</f>
        <v>141.1050228257976</v>
      </c>
      <c r="M163">
        <f>+N163*C2</f>
        <v>261791.99999999997</v>
      </c>
      <c r="N163">
        <f>+3.03</f>
        <v>3.03</v>
      </c>
      <c r="O163">
        <f>+N163/D2</f>
        <v>0.008295687885010266</v>
      </c>
      <c r="P163">
        <f>+F2*0.61</f>
        <v>1.15839E+27</v>
      </c>
      <c r="Q163" s="2">
        <f>+P163/H2</f>
        <v>486718487.394958</v>
      </c>
    </row>
    <row r="164" spans="9:18" ht="18.75">
      <c r="I164" s="2" t="s">
        <v>24</v>
      </c>
      <c r="J164" s="3">
        <f>+K164/A2/B2</f>
        <v>2.28705202304239</v>
      </c>
      <c r="K164">
        <f>+K162*1000</f>
        <v>2149722180.457292</v>
      </c>
      <c r="L164" s="2">
        <f>SQRT(R164)</f>
        <v>18.49697573189554</v>
      </c>
      <c r="M164">
        <f>+K164/L164</f>
        <v>116220197.91864604</v>
      </c>
      <c r="N164">
        <f>+M164/C2</f>
        <v>1345.1411796139587</v>
      </c>
      <c r="O164">
        <f>+N164/D2</f>
        <v>3.68279583740988</v>
      </c>
      <c r="P164" t="s">
        <v>59</v>
      </c>
      <c r="Q164" t="s">
        <v>53</v>
      </c>
      <c r="R164">
        <f>+G162/K164</f>
        <v>342.1381112263325</v>
      </c>
    </row>
    <row r="165" spans="1:18" ht="18.75">
      <c r="A165" s="22" t="s">
        <v>0</v>
      </c>
      <c r="B165" s="22" t="s">
        <v>3</v>
      </c>
      <c r="C165" s="22" t="s">
        <v>36</v>
      </c>
      <c r="D165" s="22" t="s">
        <v>38</v>
      </c>
      <c r="E165" s="22" t="s">
        <v>4</v>
      </c>
      <c r="F165" s="22" t="s">
        <v>14</v>
      </c>
      <c r="G165" s="22" t="s">
        <v>41</v>
      </c>
      <c r="H165" s="22" t="s">
        <v>15</v>
      </c>
      <c r="I165" s="31" t="s">
        <v>26</v>
      </c>
      <c r="J165" s="31" t="s">
        <v>108</v>
      </c>
      <c r="K165" s="31" t="s">
        <v>29</v>
      </c>
      <c r="L165" s="31" t="s">
        <v>31</v>
      </c>
      <c r="M165" s="31" t="s">
        <v>23</v>
      </c>
      <c r="N165" s="31" t="s">
        <v>16</v>
      </c>
      <c r="O165" s="31" t="s">
        <v>2</v>
      </c>
      <c r="P165" s="31" t="s">
        <v>13</v>
      </c>
      <c r="Q165" s="31" t="s">
        <v>17</v>
      </c>
      <c r="R165" s="31" t="s">
        <v>109</v>
      </c>
    </row>
    <row r="166" spans="1:17" ht="18.75">
      <c r="A166" s="2"/>
      <c r="B166" s="23"/>
      <c r="C166" s="27" t="s">
        <v>37</v>
      </c>
      <c r="D166" s="28" t="s">
        <v>39</v>
      </c>
      <c r="E166" s="28"/>
      <c r="F166" s="27" t="s">
        <v>40</v>
      </c>
      <c r="G166" s="27" t="s">
        <v>30</v>
      </c>
      <c r="H166" s="27" t="s">
        <v>22</v>
      </c>
      <c r="I166" s="31" t="s">
        <v>27</v>
      </c>
      <c r="J166" s="23" t="s">
        <v>107</v>
      </c>
      <c r="K166" s="31" t="s">
        <v>30</v>
      </c>
      <c r="L166" s="31" t="s">
        <v>32</v>
      </c>
      <c r="M166" s="32"/>
      <c r="N166" s="23" t="s">
        <v>107</v>
      </c>
      <c r="O166" s="32"/>
      <c r="P166" s="23" t="s">
        <v>107</v>
      </c>
      <c r="Q166" s="33"/>
    </row>
    <row r="167" spans="1:18" ht="18.75">
      <c r="A167" s="2" t="s">
        <v>174</v>
      </c>
      <c r="B167" s="2" t="s">
        <v>176</v>
      </c>
      <c r="C167" s="2">
        <v>718</v>
      </c>
      <c r="D167" s="2">
        <f>+G167*H2</f>
        <v>2.1441300597045499E+30</v>
      </c>
      <c r="E167" s="2">
        <f>+D167/E2</f>
        <v>1.0779939968348669</v>
      </c>
      <c r="F167" s="2">
        <f>+H2/(G167*L167)</f>
        <v>6.976797958464146</v>
      </c>
      <c r="G167" s="2">
        <f>+K168*L168*L168</f>
        <v>900894983069.1385</v>
      </c>
      <c r="H167" s="2">
        <f>+G167/A2/B2</f>
        <v>958.4464970904859</v>
      </c>
      <c r="I167" s="2" t="s">
        <v>25</v>
      </c>
      <c r="J167" t="s">
        <v>173</v>
      </c>
      <c r="K167">
        <f>+L167*B2</f>
        <v>2379181.2368165674</v>
      </c>
      <c r="L167" s="2">
        <f>SQRT(R167)</f>
        <v>378657.56888473505</v>
      </c>
      <c r="M167" t="s">
        <v>172</v>
      </c>
      <c r="N167" t="s">
        <v>64</v>
      </c>
      <c r="O167" t="s">
        <v>91</v>
      </c>
      <c r="P167" t="s">
        <v>60</v>
      </c>
      <c r="Q167" t="s">
        <v>111</v>
      </c>
      <c r="R167">
        <f>+G167/B2</f>
        <v>143381554473.69788</v>
      </c>
    </row>
    <row r="168" spans="1:17" ht="18.75">
      <c r="A168" s="2" t="s">
        <v>175</v>
      </c>
      <c r="I168" s="2" t="s">
        <v>177</v>
      </c>
      <c r="J168">
        <v>0.0367</v>
      </c>
      <c r="K168">
        <f>+J168*A2*B2</f>
        <v>34496287.45997281</v>
      </c>
      <c r="L168" s="2">
        <f>+K168/M168</f>
        <v>161.6035530784771</v>
      </c>
      <c r="M168">
        <f>+N168*C2</f>
        <v>213462.432</v>
      </c>
      <c r="N168">
        <v>2.47063</v>
      </c>
      <c r="O168">
        <f>+N168/D2</f>
        <v>0.006764216290212183</v>
      </c>
      <c r="P168">
        <f>+F2*1.28</f>
        <v>2.43072E+27</v>
      </c>
      <c r="Q168" s="2">
        <f>+P168/H2</f>
        <v>1021310924.369748</v>
      </c>
    </row>
    <row r="169" spans="9:18" ht="18.75">
      <c r="I169" s="2" t="s">
        <v>24</v>
      </c>
      <c r="J169" s="2">
        <f>+K169/A2/B2</f>
        <v>2.531169520560253</v>
      </c>
      <c r="K169">
        <f>+K167*1000</f>
        <v>2379181236.8165674</v>
      </c>
      <c r="L169" s="2">
        <f>SQRT(R169)</f>
        <v>19.459125594042888</v>
      </c>
      <c r="M169">
        <f>+K169/L169</f>
        <v>122265577.9324903</v>
      </c>
      <c r="N169">
        <f>+M169/C2</f>
        <v>1415.1108557001194</v>
      </c>
      <c r="O169" s="6">
        <f>+N169/D2</f>
        <v>3.8743623701577534</v>
      </c>
      <c r="P169" t="s">
        <v>53</v>
      </c>
      <c r="Q169" t="s">
        <v>55</v>
      </c>
      <c r="R169">
        <f>+G167/K169</f>
        <v>378.65756888473504</v>
      </c>
    </row>
    <row r="170" spans="1:18" ht="18.75">
      <c r="A170" s="22" t="s">
        <v>0</v>
      </c>
      <c r="B170" s="22" t="s">
        <v>3</v>
      </c>
      <c r="C170" s="22" t="s">
        <v>36</v>
      </c>
      <c r="D170" s="22" t="s">
        <v>38</v>
      </c>
      <c r="E170" s="22" t="s">
        <v>4</v>
      </c>
      <c r="F170" s="22" t="s">
        <v>14</v>
      </c>
      <c r="G170" s="22" t="s">
        <v>41</v>
      </c>
      <c r="H170" s="22" t="s">
        <v>15</v>
      </c>
      <c r="I170" s="31" t="s">
        <v>26</v>
      </c>
      <c r="J170" s="31" t="s">
        <v>108</v>
      </c>
      <c r="K170" s="31" t="s">
        <v>29</v>
      </c>
      <c r="L170" s="31" t="s">
        <v>31</v>
      </c>
      <c r="M170" s="31" t="s">
        <v>23</v>
      </c>
      <c r="N170" s="31" t="s">
        <v>16</v>
      </c>
      <c r="O170" s="31" t="s">
        <v>2</v>
      </c>
      <c r="P170" s="31" t="s">
        <v>13</v>
      </c>
      <c r="Q170" s="31" t="s">
        <v>17</v>
      </c>
      <c r="R170" s="31" t="s">
        <v>109</v>
      </c>
    </row>
    <row r="171" spans="1:17" ht="18.75">
      <c r="A171" s="2"/>
      <c r="B171" s="23"/>
      <c r="C171" s="27" t="s">
        <v>37</v>
      </c>
      <c r="D171" s="28" t="s">
        <v>39</v>
      </c>
      <c r="E171" s="28"/>
      <c r="F171" s="27" t="s">
        <v>40</v>
      </c>
      <c r="G171" s="27" t="s">
        <v>30</v>
      </c>
      <c r="H171" s="27" t="s">
        <v>22</v>
      </c>
      <c r="I171" s="31" t="s">
        <v>27</v>
      </c>
      <c r="J171" s="23" t="s">
        <v>107</v>
      </c>
      <c r="K171" s="31" t="s">
        <v>30</v>
      </c>
      <c r="L171" s="31" t="s">
        <v>32</v>
      </c>
      <c r="M171" s="32"/>
      <c r="N171" s="23" t="s">
        <v>107</v>
      </c>
      <c r="O171" s="32"/>
      <c r="P171" s="23" t="s">
        <v>107</v>
      </c>
      <c r="Q171" s="33"/>
    </row>
    <row r="172" spans="1:18" ht="18.75">
      <c r="A172" s="2" t="s">
        <v>178</v>
      </c>
      <c r="B172" s="3" t="s">
        <v>179</v>
      </c>
      <c r="C172" s="2">
        <v>62.9</v>
      </c>
      <c r="D172" s="2">
        <f>+G172*H2</f>
        <v>1.6488713124692144E+30</v>
      </c>
      <c r="E172" s="2">
        <f>+D172/E2</f>
        <v>0.8289951294465634</v>
      </c>
      <c r="F172" s="2">
        <f>+H2/(G172*L172)</f>
        <v>10.345528738630643</v>
      </c>
      <c r="G172" s="2">
        <f>+K173*L173*L173</f>
        <v>692803072466.0565</v>
      </c>
      <c r="H172" s="2">
        <f>+G172/A2/B2</f>
        <v>737.0611341584735</v>
      </c>
      <c r="I172" s="2" t="s">
        <v>25</v>
      </c>
      <c r="J172" t="s">
        <v>180</v>
      </c>
      <c r="K172">
        <f>+L172*B2</f>
        <v>2086389.28891967</v>
      </c>
      <c r="L172" s="5">
        <f>SQRT(R172)</f>
        <v>332058.3920485851</v>
      </c>
      <c r="M172" t="s">
        <v>64</v>
      </c>
      <c r="N172" t="s">
        <v>1</v>
      </c>
      <c r="O172" t="s">
        <v>100</v>
      </c>
      <c r="P172" t="s">
        <v>43</v>
      </c>
      <c r="Q172" t="s">
        <v>100</v>
      </c>
      <c r="R172">
        <f>+G172/B2</f>
        <v>110262775729.89186</v>
      </c>
    </row>
    <row r="173" spans="9:17" ht="18.75">
      <c r="I173" s="2" t="s">
        <v>49</v>
      </c>
      <c r="J173">
        <v>0.0313</v>
      </c>
      <c r="K173">
        <f>+J173*A2*B2</f>
        <v>29420539.441339202</v>
      </c>
      <c r="L173" s="2">
        <f>+K173/M173</f>
        <v>153.4544852606029</v>
      </c>
      <c r="M173">
        <f>+N173*C2</f>
        <v>191721.59999999998</v>
      </c>
      <c r="N173">
        <v>2.219</v>
      </c>
      <c r="O173">
        <f>+N173/D2</f>
        <v>0.006075290896646132</v>
      </c>
      <c r="P173">
        <f>+F2*1.15</f>
        <v>2.18385E+27</v>
      </c>
      <c r="Q173" s="2">
        <f>+P173/H2</f>
        <v>917584033.6134453</v>
      </c>
    </row>
    <row r="174" spans="9:18" ht="18.75">
      <c r="I174" s="2" t="s">
        <v>24</v>
      </c>
      <c r="J174" s="3">
        <f>+K174/A2/B2</f>
        <v>2.2196732617154584</v>
      </c>
      <c r="K174">
        <f>+K172*1000</f>
        <v>2086389288.91967</v>
      </c>
      <c r="L174" s="2">
        <f>SQRT(R174)</f>
        <v>18.222469427840593</v>
      </c>
      <c r="M174">
        <f>+K174/L174</f>
        <v>114495419.90900803</v>
      </c>
      <c r="N174">
        <f>+M174/C2</f>
        <v>1325.1784711690743</v>
      </c>
      <c r="O174" s="6">
        <f>+N174/D2</f>
        <v>3.6281409203807646</v>
      </c>
      <c r="P174" t="s">
        <v>59</v>
      </c>
      <c r="Q174" t="s">
        <v>181</v>
      </c>
      <c r="R174">
        <f>+G172/K174</f>
        <v>332.0583920485851</v>
      </c>
    </row>
    <row r="175" spans="1:18" ht="18.75">
      <c r="A175" s="22" t="s">
        <v>0</v>
      </c>
      <c r="B175" s="22" t="s">
        <v>3</v>
      </c>
      <c r="C175" s="22" t="s">
        <v>36</v>
      </c>
      <c r="D175" s="22" t="s">
        <v>38</v>
      </c>
      <c r="E175" s="22" t="s">
        <v>4</v>
      </c>
      <c r="F175" s="22" t="s">
        <v>14</v>
      </c>
      <c r="G175" s="22" t="s">
        <v>41</v>
      </c>
      <c r="H175" s="22" t="s">
        <v>15</v>
      </c>
      <c r="I175" s="31" t="s">
        <v>26</v>
      </c>
      <c r="J175" s="31" t="s">
        <v>108</v>
      </c>
      <c r="K175" s="31" t="s">
        <v>29</v>
      </c>
      <c r="L175" s="31" t="s">
        <v>31</v>
      </c>
      <c r="M175" s="31" t="s">
        <v>23</v>
      </c>
      <c r="N175" s="31" t="s">
        <v>16</v>
      </c>
      <c r="O175" s="31" t="s">
        <v>2</v>
      </c>
      <c r="P175" s="31" t="s">
        <v>13</v>
      </c>
      <c r="Q175" s="31" t="s">
        <v>17</v>
      </c>
      <c r="R175" s="31" t="s">
        <v>109</v>
      </c>
    </row>
    <row r="176" spans="1:17" ht="18.75">
      <c r="A176" s="2"/>
      <c r="B176" s="23"/>
      <c r="C176" s="27" t="s">
        <v>37</v>
      </c>
      <c r="D176" s="28" t="s">
        <v>39</v>
      </c>
      <c r="E176" s="28"/>
      <c r="F176" s="27" t="s">
        <v>40</v>
      </c>
      <c r="G176" s="27" t="s">
        <v>30</v>
      </c>
      <c r="H176" s="27" t="s">
        <v>22</v>
      </c>
      <c r="I176" s="31" t="s">
        <v>27</v>
      </c>
      <c r="J176" s="23" t="s">
        <v>107</v>
      </c>
      <c r="K176" s="31" t="s">
        <v>30</v>
      </c>
      <c r="L176" s="31" t="s">
        <v>32</v>
      </c>
      <c r="M176" s="32"/>
      <c r="N176" s="23" t="s">
        <v>107</v>
      </c>
      <c r="O176" s="32"/>
      <c r="P176" s="23" t="s">
        <v>107</v>
      </c>
      <c r="Q176" s="33"/>
    </row>
    <row r="177" spans="1:18" ht="18.75">
      <c r="A177" s="2" t="s">
        <v>182</v>
      </c>
      <c r="B177" s="3" t="s">
        <v>48</v>
      </c>
      <c r="C177" s="2">
        <v>1030</v>
      </c>
      <c r="D177" s="2">
        <f>+G177*H2</f>
        <v>2.324168985396272E+30</v>
      </c>
      <c r="E177" s="2">
        <f>+D177/E2</f>
        <v>1.1685113048749483</v>
      </c>
      <c r="F177" s="2">
        <f>+H2/(G177*L177)</f>
        <v>6.182032478162149</v>
      </c>
      <c r="G177" s="2">
        <f>+K178*L178*L178</f>
        <v>976541590502.6353</v>
      </c>
      <c r="H177" s="2">
        <f>+G177/A2/B2</f>
        <v>1038.9256065027866</v>
      </c>
      <c r="I177" s="2" t="s">
        <v>25</v>
      </c>
      <c r="J177" t="s">
        <v>115</v>
      </c>
      <c r="K177">
        <f>+L177*B2</f>
        <v>2477055.9382957336</v>
      </c>
      <c r="L177" s="2">
        <f>SQRT(R177)</f>
        <v>394234.7750025041</v>
      </c>
      <c r="M177" t="s">
        <v>59</v>
      </c>
      <c r="N177" t="s">
        <v>100</v>
      </c>
      <c r="O177" t="s">
        <v>100</v>
      </c>
      <c r="P177" t="s">
        <v>100</v>
      </c>
      <c r="Q177" t="s">
        <v>65</v>
      </c>
      <c r="R177">
        <f>+G177/B2</f>
        <v>155421057821.27502</v>
      </c>
    </row>
    <row r="178" spans="9:17" ht="18.75">
      <c r="I178" s="2" t="s">
        <v>49</v>
      </c>
      <c r="J178">
        <v>0.0382</v>
      </c>
      <c r="K178">
        <f>+J178*A2*B2</f>
        <v>35906217.4651488</v>
      </c>
      <c r="L178" s="2">
        <f>+K178/M178</f>
        <v>164.91514607770904</v>
      </c>
      <c r="M178">
        <f>+N178*C2</f>
        <v>217725.408</v>
      </c>
      <c r="N178">
        <v>2.51997</v>
      </c>
      <c r="O178">
        <f>+N178/D2</f>
        <v>0.006899301848049281</v>
      </c>
      <c r="P178">
        <f>+F2*0.89</f>
        <v>1.69011E+27</v>
      </c>
      <c r="Q178" s="2">
        <f>+P178/H2</f>
        <v>710130252.1008403</v>
      </c>
    </row>
    <row r="179" spans="9:18" ht="18.75">
      <c r="I179" s="2" t="s">
        <v>24</v>
      </c>
      <c r="J179" s="3">
        <f>+K179/A2/B2</f>
        <v>2.635296712463246</v>
      </c>
      <c r="K179">
        <f>+K177*1000</f>
        <v>2477055938.2957335</v>
      </c>
      <c r="L179" s="2">
        <f>SQRT(R179)</f>
        <v>19.855346257431627</v>
      </c>
      <c r="M179">
        <f>+K179/L179</f>
        <v>124755111.60469438</v>
      </c>
      <c r="N179">
        <f>+M179/C2</f>
        <v>1443.924902832111</v>
      </c>
      <c r="O179" s="5">
        <f>+N179/D2</f>
        <v>3.953250931778538</v>
      </c>
      <c r="P179" t="s">
        <v>55</v>
      </c>
      <c r="Q179" t="s">
        <v>53</v>
      </c>
      <c r="R179">
        <f>+G177/K179</f>
        <v>394.23477500250414</v>
      </c>
    </row>
    <row r="180" spans="1:18" ht="18.75">
      <c r="A180" s="22" t="s">
        <v>0</v>
      </c>
      <c r="B180" s="22" t="s">
        <v>3</v>
      </c>
      <c r="C180" s="22" t="s">
        <v>36</v>
      </c>
      <c r="D180" s="22" t="s">
        <v>38</v>
      </c>
      <c r="E180" s="22" t="s">
        <v>4</v>
      </c>
      <c r="F180" s="22" t="s">
        <v>14</v>
      </c>
      <c r="G180" s="22" t="s">
        <v>41</v>
      </c>
      <c r="H180" s="22" t="s">
        <v>15</v>
      </c>
      <c r="I180" s="31" t="s">
        <v>26</v>
      </c>
      <c r="J180" s="31" t="s">
        <v>108</v>
      </c>
      <c r="K180" s="31" t="s">
        <v>29</v>
      </c>
      <c r="L180" s="31" t="s">
        <v>31</v>
      </c>
      <c r="M180" s="31" t="s">
        <v>23</v>
      </c>
      <c r="N180" s="31" t="s">
        <v>16</v>
      </c>
      <c r="O180" s="31" t="s">
        <v>2</v>
      </c>
      <c r="P180" s="31" t="s">
        <v>13</v>
      </c>
      <c r="Q180" s="31" t="s">
        <v>17</v>
      </c>
      <c r="R180" s="31" t="s">
        <v>109</v>
      </c>
    </row>
    <row r="181" spans="1:17" ht="18.75">
      <c r="A181" s="2"/>
      <c r="B181" s="23"/>
      <c r="C181" s="27" t="s">
        <v>37</v>
      </c>
      <c r="D181" s="28" t="s">
        <v>39</v>
      </c>
      <c r="E181" s="28"/>
      <c r="F181" s="27" t="s">
        <v>40</v>
      </c>
      <c r="G181" s="27" t="s">
        <v>30</v>
      </c>
      <c r="H181" s="27" t="s">
        <v>22</v>
      </c>
      <c r="I181" s="31" t="s">
        <v>27</v>
      </c>
      <c r="J181" s="23" t="s">
        <v>107</v>
      </c>
      <c r="K181" s="31" t="s">
        <v>30</v>
      </c>
      <c r="L181" s="31" t="s">
        <v>32</v>
      </c>
      <c r="M181" s="32"/>
      <c r="N181" s="23" t="s">
        <v>107</v>
      </c>
      <c r="O181" s="32"/>
      <c r="P181" s="23" t="s">
        <v>107</v>
      </c>
      <c r="Q181" s="33"/>
    </row>
    <row r="182" spans="1:18" ht="18.75">
      <c r="A182" s="2" t="s">
        <v>183</v>
      </c>
      <c r="B182" s="2" t="s">
        <v>184</v>
      </c>
      <c r="C182" s="2">
        <v>469</v>
      </c>
      <c r="D182" s="2">
        <f>+G182*H2</f>
        <v>1.6538942341958772E+30</v>
      </c>
      <c r="E182" s="2">
        <f>+D182/E2</f>
        <v>0.8315204797364893</v>
      </c>
      <c r="F182" s="2">
        <f>+H2/(G182*L182)</f>
        <v>10.298435062328771</v>
      </c>
      <c r="G182" s="2">
        <f>+K183*L183*L183</f>
        <v>694913543779.7803</v>
      </c>
      <c r="H182" s="2">
        <f>+G182/A2/B2</f>
        <v>739.3064278673554</v>
      </c>
      <c r="I182" s="2" t="s">
        <v>25</v>
      </c>
      <c r="J182" t="s">
        <v>185</v>
      </c>
      <c r="K182">
        <f>+L182*B2</f>
        <v>2089564.7341676485</v>
      </c>
      <c r="L182" s="2">
        <f>SQRT(R182)</f>
        <v>332563.7786745048</v>
      </c>
      <c r="M182" t="s">
        <v>59</v>
      </c>
      <c r="N182" t="s">
        <v>55</v>
      </c>
      <c r="O182" t="s">
        <v>53</v>
      </c>
      <c r="P182" t="s">
        <v>43</v>
      </c>
      <c r="Q182" t="s">
        <v>141</v>
      </c>
      <c r="R182">
        <f>+G182/B2</f>
        <v>110598666886.265</v>
      </c>
    </row>
    <row r="183" spans="9:17" ht="18.75">
      <c r="I183" s="2" t="s">
        <v>49</v>
      </c>
      <c r="J183">
        <v>0.0307</v>
      </c>
      <c r="K183">
        <f>+J183*A2*B2</f>
        <v>28856567.4392688</v>
      </c>
      <c r="L183" s="2">
        <f>+K183/M183</f>
        <v>155.18261049983184</v>
      </c>
      <c r="M183">
        <f>+N183*C2</f>
        <v>185952.32640000002</v>
      </c>
      <c r="N183">
        <v>2.152226</v>
      </c>
      <c r="O183">
        <f>+N183/D2</f>
        <v>0.0058924736481861745</v>
      </c>
      <c r="P183">
        <f>+F2*0.88</f>
        <v>1.67112E+27</v>
      </c>
      <c r="Q183" s="2">
        <f>+P183/H2</f>
        <v>702151260.5042017</v>
      </c>
    </row>
    <row r="184" spans="9:18" ht="18.75">
      <c r="I184" s="2" t="s">
        <v>24</v>
      </c>
      <c r="J184" s="2">
        <f>+K184/A2/B2</f>
        <v>2.2230515626626555</v>
      </c>
      <c r="K184">
        <f>+K182*1000</f>
        <v>2089564734.1676486</v>
      </c>
      <c r="L184" s="2">
        <f>SQRT(R184)</f>
        <v>18.23633128330654</v>
      </c>
      <c r="M184">
        <f>+K184/L184</f>
        <v>114582516.71927166</v>
      </c>
      <c r="N184">
        <f>+M184/C2</f>
        <v>1326.1865361026812</v>
      </c>
      <c r="O184" s="5">
        <f>+N184/D2</f>
        <v>3.630900851752721</v>
      </c>
      <c r="P184" t="s">
        <v>91</v>
      </c>
      <c r="Q184" t="s">
        <v>181</v>
      </c>
      <c r="R184">
        <f>+G182/K184</f>
        <v>332.56377867450476</v>
      </c>
    </row>
    <row r="185" spans="1:18" ht="18.75">
      <c r="A185" s="22" t="s">
        <v>0</v>
      </c>
      <c r="B185" s="22" t="s">
        <v>3</v>
      </c>
      <c r="C185" s="22" t="s">
        <v>36</v>
      </c>
      <c r="D185" s="22" t="s">
        <v>38</v>
      </c>
      <c r="E185" s="22" t="s">
        <v>4</v>
      </c>
      <c r="F185" s="22" t="s">
        <v>14</v>
      </c>
      <c r="G185" s="22" t="s">
        <v>41</v>
      </c>
      <c r="H185" s="22" t="s">
        <v>15</v>
      </c>
      <c r="I185" s="31" t="s">
        <v>26</v>
      </c>
      <c r="J185" s="31" t="s">
        <v>108</v>
      </c>
      <c r="K185" s="31" t="s">
        <v>29</v>
      </c>
      <c r="L185" s="31" t="s">
        <v>31</v>
      </c>
      <c r="M185" s="31" t="s">
        <v>23</v>
      </c>
      <c r="N185" s="31" t="s">
        <v>16</v>
      </c>
      <c r="O185" s="31" t="s">
        <v>2</v>
      </c>
      <c r="P185" s="31" t="s">
        <v>13</v>
      </c>
      <c r="Q185" s="31" t="s">
        <v>17</v>
      </c>
      <c r="R185" s="31" t="s">
        <v>109</v>
      </c>
    </row>
    <row r="186" spans="1:17" ht="18.75">
      <c r="A186" s="2"/>
      <c r="B186" s="23"/>
      <c r="C186" s="27" t="s">
        <v>37</v>
      </c>
      <c r="D186" s="28" t="s">
        <v>39</v>
      </c>
      <c r="E186" s="28"/>
      <c r="F186" s="27" t="s">
        <v>40</v>
      </c>
      <c r="G186" s="27" t="s">
        <v>30</v>
      </c>
      <c r="H186" s="27" t="s">
        <v>22</v>
      </c>
      <c r="I186" s="31" t="s">
        <v>27</v>
      </c>
      <c r="J186" s="23" t="s">
        <v>203</v>
      </c>
      <c r="K186" s="31" t="s">
        <v>30</v>
      </c>
      <c r="L186" s="31" t="s">
        <v>32</v>
      </c>
      <c r="M186" s="32"/>
      <c r="N186" s="23" t="s">
        <v>107</v>
      </c>
      <c r="O186" s="32"/>
      <c r="P186" s="23" t="s">
        <v>107</v>
      </c>
      <c r="Q186" s="33"/>
    </row>
    <row r="187" spans="1:18" ht="18.75">
      <c r="A187" s="2" t="s">
        <v>186</v>
      </c>
      <c r="B187" s="2" t="s">
        <v>187</v>
      </c>
      <c r="C187" s="2">
        <v>20.3</v>
      </c>
      <c r="D187" s="2">
        <f>+E2*E187</f>
        <v>6.1923537E+29</v>
      </c>
      <c r="E187" s="2">
        <v>0.31133</v>
      </c>
      <c r="F187" s="2">
        <f>+H2/(G187*L187)</f>
        <v>44.95201897814805</v>
      </c>
      <c r="G187" s="2">
        <f>+D187/H2</f>
        <v>260182928571.42856</v>
      </c>
      <c r="H187" s="2">
        <f>+G187/A2/B2</f>
        <v>276.8040905749965</v>
      </c>
      <c r="I187" s="2" t="s">
        <v>25</v>
      </c>
      <c r="J187" t="s">
        <v>191</v>
      </c>
      <c r="K187">
        <f>+L187*B2</f>
        <v>1278585.6939603228</v>
      </c>
      <c r="L187" s="2">
        <f>SQRT(R187)</f>
        <v>203492.75750578093</v>
      </c>
      <c r="M187" t="s">
        <v>126</v>
      </c>
      <c r="N187" t="s">
        <v>181</v>
      </c>
      <c r="O187" t="s">
        <v>59</v>
      </c>
      <c r="P187" t="s">
        <v>91</v>
      </c>
      <c r="Q187" t="s">
        <v>56</v>
      </c>
      <c r="R187">
        <f>+G187/B2</f>
        <v>41409302357.30656</v>
      </c>
    </row>
    <row r="188" spans="9:17" ht="18.75">
      <c r="I188" s="2" t="s">
        <v>188</v>
      </c>
      <c r="J188" s="3">
        <f>+K188/A2/B2</f>
        <v>0.0285179529854043</v>
      </c>
      <c r="K188">
        <f>+M188*L188</f>
        <v>26805545.066880006</v>
      </c>
      <c r="L188" s="2">
        <v>98.51</v>
      </c>
      <c r="M188">
        <f>+N188*C2</f>
        <v>272109.88800000004</v>
      </c>
      <c r="N188">
        <v>3.14942</v>
      </c>
      <c r="O188">
        <f>+N188/D2</f>
        <v>0.008622642026009583</v>
      </c>
      <c r="P188">
        <f>+F2*1.94</f>
        <v>3.68406E+27</v>
      </c>
      <c r="Q188" s="2">
        <f>+P188/H2</f>
        <v>1547924369.747899</v>
      </c>
    </row>
    <row r="189" spans="9:17" ht="18.75">
      <c r="I189" s="2" t="s">
        <v>49</v>
      </c>
      <c r="J189" s="3">
        <f>+K189/A2/B2</f>
        <v>0.040693322591342375</v>
      </c>
      <c r="K189">
        <f>+L189*M189</f>
        <v>38249824.354559995</v>
      </c>
      <c r="L189" s="2">
        <v>82.46</v>
      </c>
      <c r="M189">
        <f>+N189*C2</f>
        <v>463859.136</v>
      </c>
      <c r="N189">
        <v>5.36874</v>
      </c>
      <c r="O189">
        <f>+N189/D2</f>
        <v>0.014698809034907598</v>
      </c>
      <c r="P189">
        <f>+F2*15.65</f>
        <v>2.971935E+28</v>
      </c>
      <c r="Q189" s="2">
        <f>+P189/H2</f>
        <v>12487121848.739496</v>
      </c>
    </row>
    <row r="190" spans="9:17" ht="18.75">
      <c r="I190" s="2" t="s">
        <v>50</v>
      </c>
      <c r="J190" s="3">
        <f>+K190/A2/B2</f>
        <v>0.07311313879977473</v>
      </c>
      <c r="K190">
        <f>+L190*M190</f>
        <v>68722938.77759999</v>
      </c>
      <c r="L190" s="2">
        <v>61.52</v>
      </c>
      <c r="M190">
        <f>+N190*C2</f>
        <v>1117082.88</v>
      </c>
      <c r="N190">
        <v>12.9292</v>
      </c>
      <c r="O190">
        <f>+N190/D2</f>
        <v>0.03539822039698837</v>
      </c>
      <c r="P190">
        <f>+F2*5.36</f>
        <v>1.017864E+28</v>
      </c>
      <c r="Q190" s="2">
        <f>+P190/H2</f>
        <v>4276739495.7983193</v>
      </c>
    </row>
    <row r="191" spans="9:17" ht="18.75">
      <c r="I191" s="2" t="s">
        <v>189</v>
      </c>
      <c r="J191" s="3">
        <f>+K191/A2/B2</f>
        <v>0.1461930240815536</v>
      </c>
      <c r="K191">
        <f>+L191*M191</f>
        <v>137414620.79999998</v>
      </c>
      <c r="L191" s="2">
        <v>43.5</v>
      </c>
      <c r="M191">
        <f>+N191*C2</f>
        <v>3158956.8</v>
      </c>
      <c r="N191">
        <v>36.562</v>
      </c>
      <c r="O191">
        <f>+N191/D2</f>
        <v>0.10010130047912388</v>
      </c>
      <c r="P191">
        <f>+F2*3.1</f>
        <v>5.8869E+27</v>
      </c>
      <c r="Q191" s="2">
        <f>+P191/H2</f>
        <v>2473487394.957983</v>
      </c>
    </row>
    <row r="192" spans="9:17" ht="18.75">
      <c r="I192" s="2" t="s">
        <v>51</v>
      </c>
      <c r="J192" s="3">
        <f>+K192/A2/B2</f>
        <v>0.21853041928952965</v>
      </c>
      <c r="K192">
        <f>+L192*M192</f>
        <v>205408396.8</v>
      </c>
      <c r="L192" s="2">
        <v>35.59</v>
      </c>
      <c r="M192">
        <f>+N192*C2</f>
        <v>5771520</v>
      </c>
      <c r="N192">
        <v>66.8</v>
      </c>
      <c r="O192">
        <f>+N192/D2</f>
        <v>0.18288843258042436</v>
      </c>
      <c r="P192">
        <f>+F2*7.09</f>
        <v>1.346391E+28</v>
      </c>
      <c r="Q192" s="2">
        <f>+P192/H2</f>
        <v>5657105042.016807</v>
      </c>
    </row>
    <row r="193" spans="9:17" ht="18.75">
      <c r="I193" s="2" t="s">
        <v>190</v>
      </c>
      <c r="J193" s="3">
        <f>+K193/A2/B2</f>
        <v>0.7597238688925473</v>
      </c>
      <c r="K193">
        <f>+L193*M193</f>
        <v>714104985.6</v>
      </c>
      <c r="L193" s="2">
        <v>19.088</v>
      </c>
      <c r="M193">
        <f>+N193*C2</f>
        <v>37411200</v>
      </c>
      <c r="N193">
        <v>433</v>
      </c>
      <c r="O193">
        <f>+N193/D2</f>
        <v>1.1854893908281998</v>
      </c>
      <c r="P193">
        <f>+F2*7</f>
        <v>1.3293E+28</v>
      </c>
      <c r="Q193" s="2">
        <f>+P193/H2</f>
        <v>5585294117.647059</v>
      </c>
    </row>
    <row r="194" spans="9:18" ht="18.75">
      <c r="I194" s="2" t="s">
        <v>24</v>
      </c>
      <c r="J194" s="2">
        <f>+K194/A2/B2</f>
        <v>1.3602650726630061</v>
      </c>
      <c r="K194">
        <f>+K187*1000</f>
        <v>1278585693.9603229</v>
      </c>
      <c r="L194" s="2">
        <f>SQRT(R194)</f>
        <v>14.26508876613745</v>
      </c>
      <c r="M194">
        <f>+K194/L194</f>
        <v>89630405.73539485</v>
      </c>
      <c r="N194">
        <f>+M194/C2</f>
        <v>1037.3889552707737</v>
      </c>
      <c r="O194" s="2">
        <f>+N194/D2</f>
        <v>2.840216167750236</v>
      </c>
      <c r="P194" t="s">
        <v>97</v>
      </c>
      <c r="Q194" t="s">
        <v>59</v>
      </c>
      <c r="R194">
        <f>+G187/K194</f>
        <v>203.4927575057809</v>
      </c>
    </row>
    <row r="195" spans="1:18" ht="18.75">
      <c r="A195" s="22" t="s">
        <v>0</v>
      </c>
      <c r="B195" s="22" t="s">
        <v>3</v>
      </c>
      <c r="C195" s="22" t="s">
        <v>36</v>
      </c>
      <c r="D195" s="22" t="s">
        <v>38</v>
      </c>
      <c r="E195" s="22" t="s">
        <v>4</v>
      </c>
      <c r="F195" s="22" t="s">
        <v>14</v>
      </c>
      <c r="G195" s="22" t="s">
        <v>41</v>
      </c>
      <c r="H195" s="22" t="s">
        <v>15</v>
      </c>
      <c r="I195" s="31" t="s">
        <v>26</v>
      </c>
      <c r="J195" s="31" t="s">
        <v>108</v>
      </c>
      <c r="K195" s="31" t="s">
        <v>29</v>
      </c>
      <c r="L195" s="31" t="s">
        <v>31</v>
      </c>
      <c r="M195" s="31" t="s">
        <v>23</v>
      </c>
      <c r="N195" s="31" t="s">
        <v>16</v>
      </c>
      <c r="O195" s="31" t="s">
        <v>2</v>
      </c>
      <c r="P195" s="31" t="s">
        <v>13</v>
      </c>
      <c r="Q195" s="31" t="s">
        <v>17</v>
      </c>
      <c r="R195" s="31" t="s">
        <v>109</v>
      </c>
    </row>
    <row r="196" spans="1:17" ht="18.75">
      <c r="A196" s="2"/>
      <c r="B196" s="23"/>
      <c r="C196" s="27" t="s">
        <v>37</v>
      </c>
      <c r="D196" s="28" t="s">
        <v>39</v>
      </c>
      <c r="E196" s="28"/>
      <c r="F196" s="27" t="s">
        <v>40</v>
      </c>
      <c r="G196" s="27" t="s">
        <v>30</v>
      </c>
      <c r="H196" s="27" t="s">
        <v>22</v>
      </c>
      <c r="I196" s="31" t="s">
        <v>27</v>
      </c>
      <c r="J196" s="23" t="s">
        <v>107</v>
      </c>
      <c r="K196" s="31" t="s">
        <v>30</v>
      </c>
      <c r="L196" s="31" t="s">
        <v>32</v>
      </c>
      <c r="M196" s="32"/>
      <c r="N196" s="23" t="s">
        <v>107</v>
      </c>
      <c r="O196" s="32"/>
      <c r="P196" s="23" t="s">
        <v>107</v>
      </c>
      <c r="Q196" s="33"/>
    </row>
    <row r="197" spans="1:18" ht="18.75">
      <c r="A197" s="2" t="s">
        <v>192</v>
      </c>
      <c r="B197" s="2" t="s">
        <v>193</v>
      </c>
      <c r="C197" s="2">
        <v>154</v>
      </c>
      <c r="D197" s="2">
        <f>+G197*H2</f>
        <v>1.942005197598996E+30</v>
      </c>
      <c r="E197" s="2">
        <f>+D197/E2</f>
        <v>0.9763726483655084</v>
      </c>
      <c r="F197" s="2">
        <f>+H2/(G197*L197)</f>
        <v>8.093889159531313</v>
      </c>
      <c r="G197" s="2">
        <f>+K198*L198*L198</f>
        <v>815968570419.7462</v>
      </c>
      <c r="H197" s="2">
        <f>+G197/A2/B2</f>
        <v>868.0947643757924</v>
      </c>
      <c r="I197" s="2" t="s">
        <v>25</v>
      </c>
      <c r="J197" t="s">
        <v>194</v>
      </c>
      <c r="K197">
        <f>+L197*B2</f>
        <v>2264264.499050707</v>
      </c>
      <c r="L197" s="2">
        <f>SQRT(R197)</f>
        <v>360368.0447941665</v>
      </c>
      <c r="M197" t="s">
        <v>34</v>
      </c>
      <c r="N197" t="s">
        <v>53</v>
      </c>
      <c r="O197" t="s">
        <v>65</v>
      </c>
      <c r="P197" t="s">
        <v>100</v>
      </c>
      <c r="Q197" t="s">
        <v>66</v>
      </c>
      <c r="R197">
        <f>+G197/B2</f>
        <v>129865127708.7704</v>
      </c>
    </row>
    <row r="198" spans="9:17" ht="18.75">
      <c r="I198" s="2" t="s">
        <v>49</v>
      </c>
      <c r="J198">
        <v>0.045</v>
      </c>
      <c r="K198">
        <f>+J198*A2*B2</f>
        <v>42297900.155279994</v>
      </c>
      <c r="L198" s="2">
        <f>+K198/M198</f>
        <v>138.89202555908852</v>
      </c>
      <c r="M198">
        <f>+N198*C2</f>
        <v>304538.003424</v>
      </c>
      <c r="N198">
        <v>3.52474541</v>
      </c>
      <c r="O198">
        <f>+N198/D2</f>
        <v>0.00965022699520876</v>
      </c>
      <c r="P198">
        <f>+F2*0.69</f>
        <v>1.31031E+27</v>
      </c>
      <c r="Q198" s="2">
        <f>+P198/H2</f>
        <v>550550420.1680672</v>
      </c>
    </row>
    <row r="199" spans="9:18" ht="18.75">
      <c r="I199" s="2" t="s">
        <v>24</v>
      </c>
      <c r="J199" s="2">
        <f>+K199/A2/B2</f>
        <v>2.4089116027799493</v>
      </c>
      <c r="K199">
        <f>+K197*1000</f>
        <v>2264264499.050707</v>
      </c>
      <c r="L199" s="2">
        <f>SQRT(R199)</f>
        <v>18.983362315305648</v>
      </c>
      <c r="M199">
        <f>+K199/L199</f>
        <v>119276262.0995284</v>
      </c>
      <c r="N199">
        <f>+M199/C2</f>
        <v>1380.5122928186158</v>
      </c>
      <c r="O199" s="5">
        <f>+N199/D2</f>
        <v>3.7796366675389894</v>
      </c>
      <c r="P199" t="s">
        <v>97</v>
      </c>
      <c r="Q199" t="s">
        <v>53</v>
      </c>
      <c r="R199">
        <f>+G197/K199</f>
        <v>360.36804479416656</v>
      </c>
    </row>
    <row r="200" spans="1:18" ht="18.75">
      <c r="A200" s="22" t="s">
        <v>0</v>
      </c>
      <c r="B200" s="22" t="s">
        <v>3</v>
      </c>
      <c r="C200" s="22" t="s">
        <v>36</v>
      </c>
      <c r="D200" s="22" t="s">
        <v>38</v>
      </c>
      <c r="E200" s="22" t="s">
        <v>4</v>
      </c>
      <c r="F200" s="22" t="s">
        <v>14</v>
      </c>
      <c r="G200" s="22" t="s">
        <v>41</v>
      </c>
      <c r="H200" s="22" t="s">
        <v>15</v>
      </c>
      <c r="I200" s="31" t="s">
        <v>26</v>
      </c>
      <c r="J200" s="31" t="s">
        <v>108</v>
      </c>
      <c r="K200" s="31" t="s">
        <v>29</v>
      </c>
      <c r="L200" s="31" t="s">
        <v>31</v>
      </c>
      <c r="M200" s="31" t="s">
        <v>23</v>
      </c>
      <c r="N200" s="31" t="s">
        <v>16</v>
      </c>
      <c r="O200" s="31" t="s">
        <v>2</v>
      </c>
      <c r="P200" s="31" t="s">
        <v>13</v>
      </c>
      <c r="Q200" s="31" t="s">
        <v>17</v>
      </c>
      <c r="R200" s="31" t="s">
        <v>109</v>
      </c>
    </row>
    <row r="201" spans="1:17" ht="18.75">
      <c r="A201" s="2"/>
      <c r="B201" s="23"/>
      <c r="C201" s="27" t="s">
        <v>37</v>
      </c>
      <c r="D201" s="28" t="s">
        <v>39</v>
      </c>
      <c r="E201" s="28"/>
      <c r="F201" s="27" t="s">
        <v>40</v>
      </c>
      <c r="G201" s="27" t="s">
        <v>30</v>
      </c>
      <c r="H201" s="27" t="s">
        <v>22</v>
      </c>
      <c r="I201" s="31" t="s">
        <v>27</v>
      </c>
      <c r="J201" s="23" t="s">
        <v>107</v>
      </c>
      <c r="K201" s="31" t="s">
        <v>30</v>
      </c>
      <c r="L201" s="31" t="s">
        <v>32</v>
      </c>
      <c r="M201" s="32"/>
      <c r="N201" s="23" t="s">
        <v>107</v>
      </c>
      <c r="O201" s="32"/>
      <c r="P201" s="23" t="s">
        <v>107</v>
      </c>
      <c r="Q201" s="33"/>
    </row>
    <row r="202" spans="1:18" ht="18.75">
      <c r="A202" s="2" t="s">
        <v>195</v>
      </c>
      <c r="B202" s="2" t="s">
        <v>196</v>
      </c>
      <c r="C202" s="2">
        <v>650</v>
      </c>
      <c r="D202" s="2">
        <f>+G202*H2</f>
        <v>2.2213848792616122E+30</v>
      </c>
      <c r="E202" s="2">
        <f>+D202/E2</f>
        <v>1.116835032308503</v>
      </c>
      <c r="F202" s="2">
        <f>+H2/(G202*L202)</f>
        <v>6.616024694878149</v>
      </c>
      <c r="G202" s="2">
        <f>+K203*L203*L203</f>
        <v>933354991286.3917</v>
      </c>
      <c r="H202" s="2">
        <f>+G202/A2/B2</f>
        <v>992.9801350350176</v>
      </c>
      <c r="I202" s="2" t="s">
        <v>25</v>
      </c>
      <c r="J202" t="s">
        <v>198</v>
      </c>
      <c r="K202">
        <f>+L202*B2</f>
        <v>2421663.907574843</v>
      </c>
      <c r="L202" s="2">
        <f>SQRT(R202)</f>
        <v>385418.88012077333</v>
      </c>
      <c r="M202" t="s">
        <v>147</v>
      </c>
      <c r="N202" t="s">
        <v>53</v>
      </c>
      <c r="O202" t="s">
        <v>43</v>
      </c>
      <c r="P202" t="s">
        <v>111</v>
      </c>
      <c r="Q202" t="s">
        <v>66</v>
      </c>
      <c r="R202">
        <f>+G202/B2</f>
        <v>148547713153.55103</v>
      </c>
    </row>
    <row r="203" spans="1:17" ht="18.75">
      <c r="A203" s="2" t="s">
        <v>104</v>
      </c>
      <c r="I203" s="2" t="s">
        <v>197</v>
      </c>
      <c r="J203">
        <v>0.0551</v>
      </c>
      <c r="K203">
        <f>+J203*A2*B2</f>
        <v>51791428.8567984</v>
      </c>
      <c r="L203" s="2">
        <f>+K203/M203</f>
        <v>134.24387531173164</v>
      </c>
      <c r="M203">
        <f>+N203*C2</f>
        <v>385801.05600000004</v>
      </c>
      <c r="N203">
        <v>4.46529</v>
      </c>
      <c r="O203">
        <f>+N203/D2</f>
        <v>0.012225297741273101</v>
      </c>
      <c r="P203">
        <f>+F2*0.59</f>
        <v>1.12041E+27</v>
      </c>
      <c r="Q203" s="2">
        <f>+P203/H2</f>
        <v>470760504.20168066</v>
      </c>
    </row>
    <row r="204" spans="9:18" ht="18.75">
      <c r="I204" s="2" t="s">
        <v>24</v>
      </c>
      <c r="J204" s="2">
        <f>+K204/A2/B2</f>
        <v>2.5763660947898077</v>
      </c>
      <c r="K204">
        <f>+K202*1000</f>
        <v>2421663907.574843</v>
      </c>
      <c r="L204" s="2">
        <f>SQRT(R204)</f>
        <v>19.632088022438502</v>
      </c>
      <c r="M204">
        <f>+K204/L204</f>
        <v>123352335.4625856</v>
      </c>
      <c r="N204">
        <f>+M204/C2</f>
        <v>1427.689067854</v>
      </c>
      <c r="O204" s="5">
        <f>+N204/D2</f>
        <v>3.9087996382039703</v>
      </c>
      <c r="P204" t="s">
        <v>53</v>
      </c>
      <c r="Q204" t="s">
        <v>199</v>
      </c>
      <c r="R204">
        <f>+G202/K204</f>
        <v>385.4188801207733</v>
      </c>
    </row>
    <row r="205" spans="1:18" ht="18.75">
      <c r="A205" s="22" t="s">
        <v>0</v>
      </c>
      <c r="B205" s="22" t="s">
        <v>3</v>
      </c>
      <c r="C205" s="22" t="s">
        <v>36</v>
      </c>
      <c r="D205" s="22" t="s">
        <v>38</v>
      </c>
      <c r="E205" s="22" t="s">
        <v>4</v>
      </c>
      <c r="F205" s="22" t="s">
        <v>14</v>
      </c>
      <c r="G205" s="22" t="s">
        <v>41</v>
      </c>
      <c r="H205" s="22" t="s">
        <v>15</v>
      </c>
      <c r="I205" s="31" t="s">
        <v>26</v>
      </c>
      <c r="J205" s="31" t="s">
        <v>108</v>
      </c>
      <c r="K205" s="31" t="s">
        <v>29</v>
      </c>
      <c r="L205" s="31" t="s">
        <v>31</v>
      </c>
      <c r="M205" s="31" t="s">
        <v>23</v>
      </c>
      <c r="N205" s="31" t="s">
        <v>16</v>
      </c>
      <c r="O205" s="31" t="s">
        <v>2</v>
      </c>
      <c r="P205" s="31" t="s">
        <v>13</v>
      </c>
      <c r="Q205" s="31" t="s">
        <v>17</v>
      </c>
      <c r="R205" s="31" t="s">
        <v>109</v>
      </c>
    </row>
    <row r="206" spans="1:17" ht="18.75">
      <c r="A206" s="2"/>
      <c r="B206" s="23"/>
      <c r="C206" s="27" t="s">
        <v>37</v>
      </c>
      <c r="D206" s="28" t="s">
        <v>39</v>
      </c>
      <c r="E206" s="28"/>
      <c r="F206" s="27" t="s">
        <v>40</v>
      </c>
      <c r="G206" s="27" t="s">
        <v>30</v>
      </c>
      <c r="H206" s="27" t="s">
        <v>22</v>
      </c>
      <c r="I206" s="31" t="s">
        <v>27</v>
      </c>
      <c r="J206" s="23" t="s">
        <v>107</v>
      </c>
      <c r="K206" s="31" t="s">
        <v>30</v>
      </c>
      <c r="L206" s="31" t="s">
        <v>32</v>
      </c>
      <c r="M206" s="32"/>
      <c r="N206" s="23" t="s">
        <v>107</v>
      </c>
      <c r="O206" s="32"/>
      <c r="P206" s="23" t="s">
        <v>107</v>
      </c>
      <c r="Q206" s="33"/>
    </row>
    <row r="207" spans="1:18" ht="18.75">
      <c r="A207" s="2" t="s">
        <v>200</v>
      </c>
      <c r="B207" s="3" t="s">
        <v>48</v>
      </c>
      <c r="C207" s="2">
        <v>650</v>
      </c>
      <c r="D207" s="2">
        <f>+G207*H2</f>
        <v>2.5587259603474304E+30</v>
      </c>
      <c r="E207" s="2">
        <f>+D207/E2</f>
        <v>1.2864383913260082</v>
      </c>
      <c r="F207" s="2">
        <f>+H2/(G207*L207)</f>
        <v>5.351766681940839</v>
      </c>
      <c r="G207" s="2">
        <f>+K208*L208*L208</f>
        <v>1075094941322.4497</v>
      </c>
      <c r="H207" s="2">
        <f>+G207/A2/B2</f>
        <v>1143.7748016309292</v>
      </c>
      <c r="I207" s="2" t="s">
        <v>25</v>
      </c>
      <c r="J207" t="s">
        <v>204</v>
      </c>
      <c r="K207">
        <f>+L207*B2</f>
        <v>2599045.312286266</v>
      </c>
      <c r="L207" s="2">
        <f>SQRT(R207)</f>
        <v>413649.9414766785</v>
      </c>
      <c r="M207" t="s">
        <v>181</v>
      </c>
      <c r="N207" t="s">
        <v>59</v>
      </c>
      <c r="O207" t="s">
        <v>56</v>
      </c>
      <c r="P207" t="s">
        <v>56</v>
      </c>
      <c r="Q207" t="s">
        <v>66</v>
      </c>
      <c r="R207">
        <f>+G207/B2</f>
        <v>171106274083.65955</v>
      </c>
    </row>
    <row r="208" spans="1:17" ht="18.75">
      <c r="A208" s="2" t="s">
        <v>201</v>
      </c>
      <c r="F208" t="s">
        <v>205</v>
      </c>
      <c r="I208" s="2" t="s">
        <v>202</v>
      </c>
      <c r="J208">
        <v>0.05235</v>
      </c>
      <c r="K208">
        <f>+J208*A2*B2</f>
        <v>49206557.180642396</v>
      </c>
      <c r="L208" s="2">
        <f>+K208/M208</f>
        <v>147.81275757339222</v>
      </c>
      <c r="M208">
        <f>+N208*C2</f>
        <v>332897.904</v>
      </c>
      <c r="N208">
        <v>3.852985</v>
      </c>
      <c r="O208">
        <f>+N208/D2</f>
        <v>0.01054889801505818</v>
      </c>
      <c r="P208">
        <f>+F2*1.057</f>
        <v>2.007243E+27</v>
      </c>
      <c r="Q208" s="2">
        <f>+P208/H2</f>
        <v>843379411.7647059</v>
      </c>
    </row>
    <row r="209" spans="9:18" ht="18.75">
      <c r="I209" s="2" t="s">
        <v>24</v>
      </c>
      <c r="J209" s="2">
        <f>+K209/A2/B2</f>
        <v>2.7650790848604894</v>
      </c>
      <c r="K209">
        <f>+K207*1000</f>
        <v>2599045312.2862663</v>
      </c>
      <c r="L209" s="2">
        <f>SQRT(R209)</f>
        <v>20.338385911292924</v>
      </c>
      <c r="M209">
        <f>+K209/L209</f>
        <v>127790146.3578357</v>
      </c>
      <c r="N209">
        <f>+M209/C2</f>
        <v>1479.0526198823575</v>
      </c>
      <c r="O209" s="6">
        <f>+N209/D2</f>
        <v>4.049425379554709</v>
      </c>
      <c r="P209" t="s">
        <v>55</v>
      </c>
      <c r="Q209" t="s">
        <v>59</v>
      </c>
      <c r="R209">
        <f>+G207/K209</f>
        <v>413.6499414766785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</dc:creator>
  <cp:keywords/>
  <dc:description/>
  <cp:lastModifiedBy>VICENTE</cp:lastModifiedBy>
  <dcterms:created xsi:type="dcterms:W3CDTF">2010-11-02T10:38:37Z</dcterms:created>
  <dcterms:modified xsi:type="dcterms:W3CDTF">2010-12-02T09:25:43Z</dcterms:modified>
  <cp:category/>
  <cp:version/>
  <cp:contentType/>
  <cp:contentStatus/>
</cp:coreProperties>
</file>