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73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<sst xmlns="http://schemas.openxmlformats.org/spreadsheetml/2006/main" count="1540" uniqueCount="168">
  <si>
    <t>1 UA</t>
  </si>
  <si>
    <r>
      <t xml:space="preserve">  2</t>
    </r>
    <r>
      <rPr>
        <sz val="11"/>
        <color indexed="8"/>
        <rFont val="Calibri"/>
        <family val="2"/>
      </rPr>
      <t>π</t>
    </r>
  </si>
  <si>
    <t>SGS DÍA</t>
  </si>
  <si>
    <t xml:space="preserve">  DÍAS AÑO</t>
  </si>
  <si>
    <t>MASA  DEL SOL</t>
  </si>
  <si>
    <t>MASA DE JÚPITER</t>
  </si>
  <si>
    <t>MASA TIERRA</t>
  </si>
  <si>
    <t>MASA INICIAL</t>
  </si>
  <si>
    <t xml:space="preserve">          PARA COMPROBAR</t>
  </si>
  <si>
    <t>CÁLCULO DE DATOS POR EL EJE DE SIMETRÍA (ES)</t>
  </si>
  <si>
    <t xml:space="preserve">     TABLA DE DATOS DE SISTEMAS PLANETARIOS  PLANETAS Y EXOPLANETAS </t>
  </si>
  <si>
    <t>ESTRELLA</t>
  </si>
  <si>
    <t>CONSTELACIÓN</t>
  </si>
  <si>
    <t>DISTANCIA</t>
  </si>
  <si>
    <t xml:space="preserve">   MASA</t>
  </si>
  <si>
    <t>SOLES</t>
  </si>
  <si>
    <t>M/kg/km/sg</t>
  </si>
  <si>
    <t xml:space="preserve">  EJE (ES)</t>
  </si>
  <si>
    <t>LÍMITE (UA)</t>
  </si>
  <si>
    <t>SISTEMA</t>
  </si>
  <si>
    <t xml:space="preserve">       LO</t>
  </si>
  <si>
    <t xml:space="preserve">      Vo</t>
  </si>
  <si>
    <t xml:space="preserve">    sgs</t>
  </si>
  <si>
    <t>DÍAS</t>
  </si>
  <si>
    <t>AÑOS</t>
  </si>
  <si>
    <t>MASA</t>
  </si>
  <si>
    <t>Eje (es)</t>
  </si>
  <si>
    <t>ES/Lo</t>
  </si>
  <si>
    <t>Años/luz</t>
  </si>
  <si>
    <t xml:space="preserve">   kgs</t>
  </si>
  <si>
    <t>acumulación</t>
  </si>
  <si>
    <t xml:space="preserve">    kms</t>
  </si>
  <si>
    <t>a Vo 1 km/sg</t>
  </si>
  <si>
    <t>PLANETARIO</t>
  </si>
  <si>
    <t xml:space="preserve"> kms/sg</t>
  </si>
  <si>
    <t>Publicado</t>
  </si>
  <si>
    <t>37.-HD 142</t>
  </si>
  <si>
    <t>FÉNIX</t>
  </si>
  <si>
    <t>cm</t>
  </si>
  <si>
    <t>b</t>
  </si>
  <si>
    <t>CP</t>
  </si>
  <si>
    <t xml:space="preserve">      -------</t>
  </si>
  <si>
    <t xml:space="preserve">    --------</t>
  </si>
  <si>
    <t xml:space="preserve">      --------</t>
  </si>
  <si>
    <t xml:space="preserve">      ---------</t>
  </si>
  <si>
    <t xml:space="preserve">   ---------</t>
  </si>
  <si>
    <t>Sem. Mayor (UA)</t>
  </si>
  <si>
    <t xml:space="preserve">     --------</t>
  </si>
  <si>
    <t xml:space="preserve">      ----------</t>
  </si>
  <si>
    <t>38.-GJ 3021</t>
  </si>
  <si>
    <t xml:space="preserve">       -----------</t>
  </si>
  <si>
    <t xml:space="preserve">    ---------</t>
  </si>
  <si>
    <t xml:space="preserve">    -------</t>
  </si>
  <si>
    <t>HYDRUS</t>
  </si>
  <si>
    <t>39.-HD 2039</t>
  </si>
  <si>
    <t>FENIX</t>
  </si>
  <si>
    <t xml:space="preserve">         ---------</t>
  </si>
  <si>
    <t xml:space="preserve">     -------</t>
  </si>
  <si>
    <t xml:space="preserve">    ----------</t>
  </si>
  <si>
    <t xml:space="preserve">       ---------</t>
  </si>
  <si>
    <t xml:space="preserve">     -----------</t>
  </si>
  <si>
    <t>40.-HD 2638</t>
  </si>
  <si>
    <t>CETUS</t>
  </si>
  <si>
    <t xml:space="preserve">        ------------</t>
  </si>
  <si>
    <t xml:space="preserve">        ------</t>
  </si>
  <si>
    <t xml:space="preserve">    - - - - ----</t>
  </si>
  <si>
    <t xml:space="preserve">   ----------</t>
  </si>
  <si>
    <t>41.-54-PISCIUM</t>
  </si>
  <si>
    <t>PISCIS</t>
  </si>
  <si>
    <t xml:space="preserve">      -----------</t>
  </si>
  <si>
    <t xml:space="preserve">        --------</t>
  </si>
  <si>
    <t xml:space="preserve">       --------</t>
  </si>
  <si>
    <t>42.-HD 4113</t>
  </si>
  <si>
    <t>A</t>
  </si>
  <si>
    <t>SCULPTOR</t>
  </si>
  <si>
    <t xml:space="preserve">         ----------</t>
  </si>
  <si>
    <t xml:space="preserve">     ---------</t>
  </si>
  <si>
    <t xml:space="preserve">  -----------</t>
  </si>
  <si>
    <t xml:space="preserve">     ----------</t>
  </si>
  <si>
    <t>43.-HD 4208</t>
  </si>
  <si>
    <t xml:space="preserve">             -----------</t>
  </si>
  <si>
    <t xml:space="preserve">  ----------</t>
  </si>
  <si>
    <t xml:space="preserve">    -----------</t>
  </si>
  <si>
    <t>44.-HD 4308</t>
  </si>
  <si>
    <t>TUCANA</t>
  </si>
  <si>
    <t xml:space="preserve">  -------------</t>
  </si>
  <si>
    <t>45.-HD 4203</t>
  </si>
  <si>
    <t xml:space="preserve">        -------------</t>
  </si>
  <si>
    <t xml:space="preserve">        -------</t>
  </si>
  <si>
    <t>TABLA -2</t>
  </si>
  <si>
    <t>46.-HD 5319</t>
  </si>
  <si>
    <t xml:space="preserve">          -----------</t>
  </si>
  <si>
    <t>CP = b</t>
  </si>
  <si>
    <t>b = CP</t>
  </si>
  <si>
    <t>47.-HD 6434</t>
  </si>
  <si>
    <t xml:space="preserve">        ---------------</t>
  </si>
  <si>
    <t xml:space="preserve">    ---------- </t>
  </si>
  <si>
    <t>48.-HD 8574</t>
  </si>
  <si>
    <t xml:space="preserve">       ----------</t>
  </si>
  <si>
    <t xml:space="preserve">        ---------</t>
  </si>
  <si>
    <t>49.-Q¨ERIDANI</t>
  </si>
  <si>
    <t>ERIDANUS</t>
  </si>
  <si>
    <t xml:space="preserve">          -------------</t>
  </si>
  <si>
    <t>50.-109 PISCIUM</t>
  </si>
  <si>
    <t xml:space="preserve">           ------------</t>
  </si>
  <si>
    <t>51.-HD 11506</t>
  </si>
  <si>
    <t xml:space="preserve">         ------------</t>
  </si>
  <si>
    <t>Ó HD 5319</t>
  </si>
  <si>
    <t>Ö  HD 11506</t>
  </si>
  <si>
    <t>52.-ETA(2) HYDRI</t>
  </si>
  <si>
    <t xml:space="preserve">           ----------</t>
  </si>
  <si>
    <t xml:space="preserve">  ---------</t>
  </si>
  <si>
    <t>53.-HD 11964</t>
  </si>
  <si>
    <t>d</t>
  </si>
  <si>
    <t>c</t>
  </si>
  <si>
    <t xml:space="preserve">      ----------------</t>
  </si>
  <si>
    <t xml:space="preserve">   -----------</t>
  </si>
  <si>
    <t>54.-GLIESE 86-A</t>
  </si>
  <si>
    <t>Ab</t>
  </si>
  <si>
    <t>B</t>
  </si>
  <si>
    <t xml:space="preserve">       --------------</t>
  </si>
  <si>
    <t xml:space="preserve">   ------------</t>
  </si>
  <si>
    <t>55.-HD 12661</t>
  </si>
  <si>
    <t>ARIES</t>
  </si>
  <si>
    <t>56.-79 CETI</t>
  </si>
  <si>
    <t xml:space="preserve">   -------------</t>
  </si>
  <si>
    <t>57.-HD 16175</t>
  </si>
  <si>
    <t>PERSEUS</t>
  </si>
  <si>
    <t xml:space="preserve">          ----------------</t>
  </si>
  <si>
    <t xml:space="preserve">     -------------</t>
  </si>
  <si>
    <t>58.-IOTA HOROLOGLII</t>
  </si>
  <si>
    <t>HOROLOGIUM</t>
  </si>
  <si>
    <t xml:space="preserve">          -----------------</t>
  </si>
  <si>
    <t>59.-HD 17097</t>
  </si>
  <si>
    <t xml:space="preserve">         ------------------</t>
  </si>
  <si>
    <t xml:space="preserve">    ------------</t>
  </si>
  <si>
    <t>60.-HIP 14810</t>
  </si>
  <si>
    <t xml:space="preserve">      ------------</t>
  </si>
  <si>
    <t xml:space="preserve"> -----------</t>
  </si>
  <si>
    <t xml:space="preserve">     ------------</t>
  </si>
  <si>
    <t xml:space="preserve">  - - - - - - -</t>
  </si>
  <si>
    <t>61.-94 CETI-A</t>
  </si>
  <si>
    <t>BINARIO</t>
  </si>
  <si>
    <t xml:space="preserve">        -----------------</t>
  </si>
  <si>
    <t>62.-HD 20367</t>
  </si>
  <si>
    <t xml:space="preserve">   - ---------</t>
  </si>
  <si>
    <t>63.-HD 20782</t>
  </si>
  <si>
    <t>FOMAX</t>
  </si>
  <si>
    <t xml:space="preserve">           -------------</t>
  </si>
  <si>
    <t>64.-HD 23127</t>
  </si>
  <si>
    <t>RETICULUM</t>
  </si>
  <si>
    <t xml:space="preserve">           ------</t>
  </si>
  <si>
    <t>65.-HD 23079</t>
  </si>
  <si>
    <t>66.-HD 23596</t>
  </si>
  <si>
    <t xml:space="preserve">       -------------</t>
  </si>
  <si>
    <t>67.-EPSILON</t>
  </si>
  <si>
    <t>RETICULUS-A</t>
  </si>
  <si>
    <t>68.-HD 27894</t>
  </si>
  <si>
    <t>69.-HD 28185</t>
  </si>
  <si>
    <t xml:space="preserve">      -------------</t>
  </si>
  <si>
    <t>70.-EPSILON TAURI</t>
  </si>
  <si>
    <t>TAURUS</t>
  </si>
  <si>
    <t>AIN</t>
  </si>
  <si>
    <t xml:space="preserve">        --------------</t>
  </si>
  <si>
    <t>71.-HD 30177</t>
  </si>
  <si>
    <t>DORADO</t>
  </si>
  <si>
    <t xml:space="preserve">          ----------</t>
  </si>
  <si>
    <t>72.-GLIESE 176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</si>
</sst>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u val="single"/>
      <sz val="14"/>
      <color indexed="36"/>
      <name val="Calibri"/>
      <family val="2"/>
    </font>
    <font>
      <u val="single"/>
      <sz val="14"/>
      <name val="Calibri"/>
      <family val="2"/>
    </font>
    <font>
      <b/>
      <u val="single"/>
      <sz val="14"/>
      <color indexed="62"/>
      <name val="Calibri"/>
      <family val="2"/>
    </font>
    <font>
      <u val="single"/>
      <sz val="14"/>
      <color indexed="62"/>
      <name val="Calibri"/>
      <family val="2"/>
    </font>
    <font>
      <b/>
      <u val="single"/>
      <sz val="14"/>
      <name val="Calibri"/>
      <family val="2"/>
    </font>
    <font>
      <b/>
      <u val="single"/>
      <sz val="14"/>
      <color indexed="10"/>
      <name val="Calibri"/>
      <family val="2"/>
    </font>
    <font>
      <u val="single"/>
      <sz val="14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7"/>
      <name val="Calibri"/>
      <family val="2"/>
    </font>
    <font>
      <b/>
      <u val="single"/>
      <sz val="14"/>
      <color theme="4"/>
      <name val="Calibri"/>
      <family val="2"/>
    </font>
    <font>
      <u val="single"/>
      <sz val="14"/>
      <color theme="4"/>
      <name val="Calibri"/>
      <family val="2"/>
    </font>
    <font>
      <b/>
      <u val="single"/>
      <sz val="14"/>
      <color theme="5"/>
      <name val="Calibri"/>
      <family val="2"/>
    </font>
    <font>
      <u val="single"/>
      <sz val="14"/>
      <color theme="5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3" fillId="0" borderId="0" xfId="0" applyFont="1" applyAlignment="1">
      <alignment/>
    </xf>
    <xf numFmtId="0" fontId="25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8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tabSelected="1" zoomScalePageLayoutView="0" workbookViewId="0" topLeftCell="A176">
      <selection activeCell="A192" sqref="A192"/>
    </sheetView>
  </sheetViews>
  <sheetFormatPr defaultColWidth="11.421875" defaultRowHeight="15"/>
  <cols>
    <col min="1" max="1" width="21.28125" style="0" customWidth="1"/>
    <col min="2" max="2" width="16.8515625" style="0" customWidth="1"/>
    <col min="3" max="3" width="14.28125" style="0" customWidth="1"/>
    <col min="4" max="4" width="16.8515625" style="0" bestFit="1" customWidth="1"/>
    <col min="7" max="7" width="16.8515625" style="0" bestFit="1" customWidth="1"/>
    <col min="8" max="8" width="13.7109375" style="0" customWidth="1"/>
    <col min="9" max="9" width="15.140625" style="0" customWidth="1"/>
    <col min="10" max="10" width="19.00390625" style="0" customWidth="1"/>
    <col min="11" max="13" width="12.00390625" style="0" bestFit="1" customWidth="1"/>
    <col min="16" max="16" width="15.28125" style="0" bestFit="1" customWidth="1"/>
    <col min="17" max="17" width="12.7109375" style="0" customWidth="1"/>
    <col min="18" max="18" width="12.00390625" style="0" bestFit="1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>
        <v>149597870</v>
      </c>
      <c r="B2" s="1">
        <v>6.2832</v>
      </c>
      <c r="C2" s="1">
        <v>86400</v>
      </c>
      <c r="D2" s="1">
        <v>365.25</v>
      </c>
      <c r="E2" s="1">
        <v>1.989E+30</v>
      </c>
      <c r="F2" s="1">
        <v>1.899E+27</v>
      </c>
      <c r="G2" s="1">
        <v>5.9736E+24</v>
      </c>
      <c r="H2" s="1">
        <v>2.38E+18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>
      <c r="A3" s="1"/>
      <c r="B3" s="1"/>
      <c r="C3" s="1"/>
      <c r="D3" s="1"/>
      <c r="E3" s="1"/>
      <c r="F3" s="1" t="s">
        <v>8</v>
      </c>
      <c r="G3" s="1"/>
      <c r="H3" s="1"/>
      <c r="I3" s="1"/>
      <c r="J3" s="3"/>
      <c r="K3" s="1"/>
      <c r="L3" s="1"/>
      <c r="M3" s="1"/>
      <c r="N3" s="1"/>
      <c r="O3" s="1"/>
      <c r="P3" s="1"/>
      <c r="Q3" s="1"/>
      <c r="R3" s="1"/>
    </row>
    <row r="4" spans="1:18" ht="21">
      <c r="A4" s="19" t="s">
        <v>89</v>
      </c>
      <c r="B4" s="1"/>
      <c r="C4" s="1"/>
      <c r="D4" s="1"/>
      <c r="E4" s="1"/>
      <c r="F4" s="8" t="s">
        <v>9</v>
      </c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</row>
    <row r="5" spans="1:18" ht="21">
      <c r="A5" s="2"/>
      <c r="B5" s="1"/>
      <c r="C5" s="2"/>
      <c r="D5" s="4" t="s">
        <v>10</v>
      </c>
      <c r="E5" s="5"/>
      <c r="F5" s="6"/>
      <c r="G5" s="6"/>
      <c r="H5" s="6"/>
      <c r="I5" s="6"/>
      <c r="J5" s="7"/>
      <c r="K5" s="7"/>
      <c r="L5" s="1"/>
      <c r="M5" s="1"/>
      <c r="N5" s="1"/>
      <c r="O5" s="1"/>
      <c r="P5" s="1"/>
      <c r="Q5" s="1"/>
      <c r="R5" s="1"/>
    </row>
    <row r="6" spans="1:18" ht="18.75">
      <c r="A6" s="9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">
        <v>17</v>
      </c>
      <c r="H6" s="9" t="s">
        <v>18</v>
      </c>
      <c r="I6" s="14" t="s">
        <v>19</v>
      </c>
      <c r="J6" s="14" t="s">
        <v>46</v>
      </c>
      <c r="K6" s="14" t="s">
        <v>20</v>
      </c>
      <c r="L6" s="14" t="s">
        <v>21</v>
      </c>
      <c r="M6" s="14" t="s">
        <v>22</v>
      </c>
      <c r="N6" s="14" t="s">
        <v>23</v>
      </c>
      <c r="O6" s="14" t="s">
        <v>24</v>
      </c>
      <c r="P6" s="14" t="s">
        <v>25</v>
      </c>
      <c r="Q6" s="14" t="s">
        <v>26</v>
      </c>
      <c r="R6" s="13" t="s">
        <v>27</v>
      </c>
    </row>
    <row r="7" spans="1:18" ht="18.75">
      <c r="A7" s="11"/>
      <c r="B7" s="12"/>
      <c r="C7" s="11" t="s">
        <v>28</v>
      </c>
      <c r="D7" s="12" t="s">
        <v>29</v>
      </c>
      <c r="E7" s="12"/>
      <c r="F7" s="11" t="s">
        <v>30</v>
      </c>
      <c r="G7" s="11" t="s">
        <v>31</v>
      </c>
      <c r="H7" s="11" t="s">
        <v>32</v>
      </c>
      <c r="I7" s="14" t="s">
        <v>33</v>
      </c>
      <c r="J7" s="10" t="s">
        <v>35</v>
      </c>
      <c r="K7" s="14" t="s">
        <v>31</v>
      </c>
      <c r="L7" s="14" t="s">
        <v>34</v>
      </c>
      <c r="M7" s="15"/>
      <c r="N7" s="10" t="s">
        <v>35</v>
      </c>
      <c r="O7" s="15"/>
      <c r="P7" s="10" t="s">
        <v>35</v>
      </c>
      <c r="Q7" s="15"/>
      <c r="R7" s="1"/>
    </row>
    <row r="8" spans="1:18" ht="18.75">
      <c r="A8" s="17" t="s">
        <v>36</v>
      </c>
      <c r="B8" s="18" t="s">
        <v>37</v>
      </c>
      <c r="C8" s="17">
        <v>67.18</v>
      </c>
      <c r="D8" s="17">
        <f>+G8*H2</f>
        <v>2.462277239473975E+30</v>
      </c>
      <c r="E8" s="17">
        <f>+D8/E2</f>
        <v>1.2379473300522752</v>
      </c>
      <c r="F8" s="17">
        <f>+H2/(G8*L8)</f>
        <v>5.669273496275751</v>
      </c>
      <c r="G8" s="17">
        <f>+K9*L9*L9</f>
        <v>1034570268686.5442</v>
      </c>
      <c r="H8" s="17">
        <f>+G8/A2/B2</f>
        <v>1100.6613075349794</v>
      </c>
      <c r="I8" s="17" t="s">
        <v>38</v>
      </c>
      <c r="J8" s="1" t="s">
        <v>41</v>
      </c>
      <c r="K8">
        <f>+L8*B2</f>
        <v>2549590.5381475072</v>
      </c>
      <c r="L8" s="17">
        <f>SQRT(R8)</f>
        <v>405778.98811871454</v>
      </c>
      <c r="M8" s="1" t="s">
        <v>42</v>
      </c>
      <c r="N8" s="1" t="s">
        <v>43</v>
      </c>
      <c r="O8" s="1" t="s">
        <v>42</v>
      </c>
      <c r="P8" s="1" t="s">
        <v>44</v>
      </c>
      <c r="Q8" s="1" t="s">
        <v>45</v>
      </c>
      <c r="R8">
        <f>+G8/B2</f>
        <v>164656587198.64786</v>
      </c>
    </row>
    <row r="9" spans="9:17" ht="18.75">
      <c r="I9" s="17" t="s">
        <v>39</v>
      </c>
      <c r="J9">
        <v>1.045</v>
      </c>
      <c r="K9">
        <f>+J9*A2*B2</f>
        <v>982251236.9392798</v>
      </c>
      <c r="L9" s="17">
        <f>+K9/M9</f>
        <v>32.45403532882132</v>
      </c>
      <c r="M9">
        <f>+N9*C2</f>
        <v>30265920</v>
      </c>
      <c r="N9">
        <v>350.3</v>
      </c>
      <c r="O9">
        <f>+N9/D2</f>
        <v>0.9590691307323751</v>
      </c>
      <c r="P9">
        <f>+F2/1.31</f>
        <v>1.449618320610687E+27</v>
      </c>
      <c r="Q9" s="17">
        <f>+P9/H2</f>
        <v>609083327.9876835</v>
      </c>
    </row>
    <row r="10" spans="9:18" ht="18.75">
      <c r="I10" s="17" t="s">
        <v>40</v>
      </c>
      <c r="J10" s="17">
        <f>+K10/A2/B2</f>
        <v>2.712465011157676</v>
      </c>
      <c r="K10">
        <f>+K8*1000</f>
        <v>2549590538.147507</v>
      </c>
      <c r="L10" s="17">
        <f>SQRT(R10)</f>
        <v>20.143956615290712</v>
      </c>
      <c r="M10">
        <f>+K10/L10</f>
        <v>126568508.20519464</v>
      </c>
      <c r="N10">
        <f>+M10/C2</f>
        <v>1464.913289411975</v>
      </c>
      <c r="O10">
        <f>+N10/D2</f>
        <v>4.010714002496852</v>
      </c>
      <c r="P10" s="1" t="s">
        <v>47</v>
      </c>
      <c r="Q10" s="1" t="s">
        <v>48</v>
      </c>
      <c r="R10">
        <f>+G8/K10</f>
        <v>405.7789881187145</v>
      </c>
    </row>
    <row r="11" spans="1:18" ht="18.75">
      <c r="A11" s="9" t="s">
        <v>11</v>
      </c>
      <c r="B11" s="9" t="s">
        <v>12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14" t="s">
        <v>19</v>
      </c>
      <c r="J11" s="14" t="s">
        <v>46</v>
      </c>
      <c r="K11" s="14" t="s">
        <v>20</v>
      </c>
      <c r="L11" s="14" t="s">
        <v>21</v>
      </c>
      <c r="M11" s="14" t="s">
        <v>22</v>
      </c>
      <c r="N11" s="14" t="s">
        <v>23</v>
      </c>
      <c r="O11" s="14" t="s">
        <v>24</v>
      </c>
      <c r="P11" s="14" t="s">
        <v>25</v>
      </c>
      <c r="Q11" s="14" t="s">
        <v>26</v>
      </c>
      <c r="R11" s="13" t="s">
        <v>27</v>
      </c>
    </row>
    <row r="12" spans="1:18" ht="18.75">
      <c r="A12" s="11"/>
      <c r="B12" s="12"/>
      <c r="C12" s="11" t="s">
        <v>28</v>
      </c>
      <c r="D12" s="12" t="s">
        <v>29</v>
      </c>
      <c r="E12" s="12"/>
      <c r="F12" s="11" t="s">
        <v>30</v>
      </c>
      <c r="G12" s="11" t="s">
        <v>31</v>
      </c>
      <c r="H12" s="11" t="s">
        <v>32</v>
      </c>
      <c r="I12" s="14" t="s">
        <v>33</v>
      </c>
      <c r="J12" s="10" t="s">
        <v>35</v>
      </c>
      <c r="K12" s="14" t="s">
        <v>31</v>
      </c>
      <c r="L12" s="14" t="s">
        <v>34</v>
      </c>
      <c r="M12" s="15"/>
      <c r="N12" s="10" t="s">
        <v>35</v>
      </c>
      <c r="O12" s="15"/>
      <c r="P12" s="10" t="s">
        <v>35</v>
      </c>
      <c r="Q12" s="15"/>
      <c r="R12" s="1"/>
    </row>
    <row r="13" spans="1:18" ht="18.75">
      <c r="A13" s="17" t="s">
        <v>49</v>
      </c>
      <c r="B13" s="17" t="s">
        <v>53</v>
      </c>
      <c r="C13" s="17">
        <v>57.47</v>
      </c>
      <c r="D13" s="17">
        <f>+G13*H2</f>
        <v>1.7962061255074078E+30</v>
      </c>
      <c r="E13" s="17">
        <f>+D13/E2</f>
        <v>0.9030699474647601</v>
      </c>
      <c r="F13" s="17">
        <f>+H2/(G13*L13)</f>
        <v>9.09910286925959</v>
      </c>
      <c r="G13" s="17">
        <f>+K14*L14*L14</f>
        <v>754708456095.5494</v>
      </c>
      <c r="H13" s="17">
        <f>+G13/A2/B2</f>
        <v>802.9211946603052</v>
      </c>
      <c r="I13" s="17" t="s">
        <v>38</v>
      </c>
      <c r="J13" s="1" t="s">
        <v>50</v>
      </c>
      <c r="K13">
        <f>+L13*B2</f>
        <v>2177609.7380705196</v>
      </c>
      <c r="L13" s="17">
        <f>SQRT(R13)</f>
        <v>346576.5434922523</v>
      </c>
      <c r="M13" s="1" t="s">
        <v>41</v>
      </c>
      <c r="N13" s="1" t="s">
        <v>44</v>
      </c>
      <c r="O13" s="1" t="s">
        <v>51</v>
      </c>
      <c r="P13" s="1" t="s">
        <v>52</v>
      </c>
      <c r="Q13" s="1" t="s">
        <v>51</v>
      </c>
      <c r="R13">
        <f>+G13/B2</f>
        <v>120115300499.03703</v>
      </c>
    </row>
    <row r="14" spans="9:17" ht="18.75">
      <c r="I14" s="17" t="s">
        <v>39</v>
      </c>
      <c r="J14">
        <v>0.495</v>
      </c>
      <c r="K14">
        <f>+J14*A2*B2</f>
        <v>465276901.70808005</v>
      </c>
      <c r="L14" s="17">
        <f>+K14/M14</f>
        <v>40.27484350703014</v>
      </c>
      <c r="M14">
        <f>+N14*C2</f>
        <v>11552544</v>
      </c>
      <c r="N14">
        <v>133.71</v>
      </c>
      <c r="O14">
        <f>+N14/D2</f>
        <v>0.3660780287474333</v>
      </c>
      <c r="P14">
        <f>+F2/3.37</f>
        <v>5.635014836795252E+26</v>
      </c>
      <c r="Q14" s="17">
        <f>+P14/H2</f>
        <v>236765329.27711144</v>
      </c>
    </row>
    <row r="15" spans="9:18" ht="18.75">
      <c r="I15" s="17" t="s">
        <v>40</v>
      </c>
      <c r="J15" s="17">
        <f>+K15/A2/B2</f>
        <v>2.316721110349046</v>
      </c>
      <c r="K15">
        <f>+K13*1000</f>
        <v>2177609738.0705194</v>
      </c>
      <c r="L15" s="17">
        <f>SQRT(R15)</f>
        <v>18.616566372246314</v>
      </c>
      <c r="M15">
        <f>+K15/L15</f>
        <v>116971609.83009803</v>
      </c>
      <c r="N15">
        <f>+M15/C2</f>
        <v>1353.8380767372457</v>
      </c>
      <c r="O15" s="16">
        <f>+N15/D2</f>
        <v>3.7066066440444785</v>
      </c>
      <c r="P15" s="1" t="s">
        <v>41</v>
      </c>
      <c r="Q15" s="1" t="s">
        <v>44</v>
      </c>
      <c r="R15">
        <f>+G13/K15</f>
        <v>346.57654349225226</v>
      </c>
    </row>
    <row r="16" spans="1:18" ht="18.75">
      <c r="A16" s="9" t="s">
        <v>11</v>
      </c>
      <c r="B16" s="9" t="s">
        <v>12</v>
      </c>
      <c r="C16" s="9" t="s">
        <v>13</v>
      </c>
      <c r="D16" s="9" t="s">
        <v>14</v>
      </c>
      <c r="E16" s="9" t="s">
        <v>15</v>
      </c>
      <c r="F16" s="9" t="s">
        <v>16</v>
      </c>
      <c r="G16" s="9" t="s">
        <v>17</v>
      </c>
      <c r="H16" s="9" t="s">
        <v>18</v>
      </c>
      <c r="I16" s="14" t="s">
        <v>19</v>
      </c>
      <c r="J16" s="14" t="s">
        <v>46</v>
      </c>
      <c r="K16" s="14" t="s">
        <v>20</v>
      </c>
      <c r="L16" s="14" t="s">
        <v>21</v>
      </c>
      <c r="M16" s="14" t="s">
        <v>22</v>
      </c>
      <c r="N16" s="14" t="s">
        <v>23</v>
      </c>
      <c r="O16" s="14" t="s">
        <v>24</v>
      </c>
      <c r="P16" s="14" t="s">
        <v>25</v>
      </c>
      <c r="Q16" s="14" t="s">
        <v>26</v>
      </c>
      <c r="R16" s="13" t="s">
        <v>27</v>
      </c>
    </row>
    <row r="17" spans="1:18" ht="18.75">
      <c r="A17" s="11"/>
      <c r="B17" s="12"/>
      <c r="C17" s="11" t="s">
        <v>28</v>
      </c>
      <c r="D17" s="12" t="s">
        <v>29</v>
      </c>
      <c r="E17" s="12"/>
      <c r="F17" s="11" t="s">
        <v>30</v>
      </c>
      <c r="G17" s="11" t="s">
        <v>31</v>
      </c>
      <c r="H17" s="11" t="s">
        <v>32</v>
      </c>
      <c r="I17" s="14" t="s">
        <v>33</v>
      </c>
      <c r="J17" s="10" t="s">
        <v>35</v>
      </c>
      <c r="K17" s="14" t="s">
        <v>31</v>
      </c>
      <c r="L17" s="14" t="s">
        <v>34</v>
      </c>
      <c r="M17" s="15"/>
      <c r="N17" s="10" t="s">
        <v>35</v>
      </c>
      <c r="O17" s="15"/>
      <c r="P17" s="10" t="s">
        <v>35</v>
      </c>
      <c r="Q17" s="15"/>
      <c r="R17" s="1"/>
    </row>
    <row r="18" spans="1:18" ht="18.75">
      <c r="A18" s="17" t="s">
        <v>54</v>
      </c>
      <c r="B18" s="17" t="s">
        <v>55</v>
      </c>
      <c r="C18" s="17">
        <v>293</v>
      </c>
      <c r="D18" s="17">
        <f>+G18*H2</f>
        <v>1.955348615490926E+30</v>
      </c>
      <c r="E18" s="17">
        <f>+D18/E2</f>
        <v>0.9830812546460161</v>
      </c>
      <c r="F18" s="17">
        <f>+H2/(G18*L18)</f>
        <v>8.011180875758939</v>
      </c>
      <c r="G18" s="17">
        <f>+K19*L19*L19</f>
        <v>821575048525.5991</v>
      </c>
      <c r="H18" s="17">
        <f>+G18/A2/B2</f>
        <v>874.0593988809851</v>
      </c>
      <c r="I18" s="17" t="s">
        <v>38</v>
      </c>
      <c r="J18" s="1" t="s">
        <v>56</v>
      </c>
      <c r="K18">
        <f>+L18*B2</f>
        <v>2272030.00528075</v>
      </c>
      <c r="L18" s="17">
        <f>SQRT(R18)</f>
        <v>361603.96060617996</v>
      </c>
      <c r="M18" s="1" t="s">
        <v>57</v>
      </c>
      <c r="N18" s="1" t="s">
        <v>51</v>
      </c>
      <c r="O18" s="1" t="s">
        <v>58</v>
      </c>
      <c r="P18" s="1" t="s">
        <v>47</v>
      </c>
      <c r="Q18" s="1" t="s">
        <v>58</v>
      </c>
      <c r="R18">
        <f>+G18/B2</f>
        <v>130757424326.07574</v>
      </c>
    </row>
    <row r="19" spans="9:17" ht="18.75">
      <c r="I19" s="17" t="s">
        <v>39</v>
      </c>
      <c r="J19">
        <v>2.19</v>
      </c>
      <c r="K19">
        <f>+J19*A2*B2</f>
        <v>2058497807.55696</v>
      </c>
      <c r="L19" s="17">
        <f>+K19/M19</f>
        <v>19.977834736716915</v>
      </c>
      <c r="M19">
        <f>+N19*C2</f>
        <v>103039084.80000001</v>
      </c>
      <c r="N19">
        <v>1192.582</v>
      </c>
      <c r="O19">
        <f>+N19/D2</f>
        <v>3.265111567419576</v>
      </c>
      <c r="P19">
        <f>+F2/4.85</f>
        <v>3.915463917525774E+26</v>
      </c>
      <c r="Q19" s="17">
        <f>+P19/H2</f>
        <v>164515290.65234345</v>
      </c>
    </row>
    <row r="20" spans="9:18" ht="18.75">
      <c r="I20" s="17" t="s">
        <v>40</v>
      </c>
      <c r="J20" s="17">
        <f>+K20/A2/B2</f>
        <v>2.4171731897398</v>
      </c>
      <c r="K20">
        <f>+K18*1000</f>
        <v>2272030005.28075</v>
      </c>
      <c r="L20" s="17">
        <f>SQRT(R20)</f>
        <v>19.015887058093817</v>
      </c>
      <c r="M20">
        <f>+K20/L20</f>
        <v>119480621.56341508</v>
      </c>
      <c r="N20">
        <f>+M20/C2</f>
        <v>1382.8775643913782</v>
      </c>
      <c r="O20" s="18">
        <f>+N20/D2</f>
        <v>3.7861124281762577</v>
      </c>
      <c r="P20" s="1" t="s">
        <v>59</v>
      </c>
      <c r="Q20" s="1" t="s">
        <v>60</v>
      </c>
      <c r="R20">
        <f>+G18/K20</f>
        <v>361.60396060617995</v>
      </c>
    </row>
    <row r="21" spans="1:18" ht="18.75">
      <c r="A21" s="9" t="s">
        <v>11</v>
      </c>
      <c r="B21" s="9" t="s">
        <v>12</v>
      </c>
      <c r="C21" s="9" t="s">
        <v>13</v>
      </c>
      <c r="D21" s="9" t="s">
        <v>14</v>
      </c>
      <c r="E21" s="9" t="s">
        <v>15</v>
      </c>
      <c r="F21" s="9" t="s">
        <v>16</v>
      </c>
      <c r="G21" s="9" t="s">
        <v>17</v>
      </c>
      <c r="H21" s="9" t="s">
        <v>18</v>
      </c>
      <c r="I21" s="14" t="s">
        <v>19</v>
      </c>
      <c r="J21" s="14" t="s">
        <v>46</v>
      </c>
      <c r="K21" s="14" t="s">
        <v>20</v>
      </c>
      <c r="L21" s="14" t="s">
        <v>21</v>
      </c>
      <c r="M21" s="14" t="s">
        <v>22</v>
      </c>
      <c r="N21" s="14" t="s">
        <v>23</v>
      </c>
      <c r="O21" s="14" t="s">
        <v>24</v>
      </c>
      <c r="P21" s="14" t="s">
        <v>25</v>
      </c>
      <c r="Q21" s="14" t="s">
        <v>26</v>
      </c>
      <c r="R21" s="13" t="s">
        <v>27</v>
      </c>
    </row>
    <row r="22" spans="1:18" ht="18.75">
      <c r="A22" s="11"/>
      <c r="B22" s="12"/>
      <c r="C22" s="11" t="s">
        <v>28</v>
      </c>
      <c r="D22" s="12" t="s">
        <v>29</v>
      </c>
      <c r="E22" s="12"/>
      <c r="F22" s="11" t="s">
        <v>30</v>
      </c>
      <c r="G22" s="11" t="s">
        <v>31</v>
      </c>
      <c r="H22" s="11" t="s">
        <v>32</v>
      </c>
      <c r="I22" s="14" t="s">
        <v>33</v>
      </c>
      <c r="J22" s="10" t="s">
        <v>35</v>
      </c>
      <c r="K22" s="14" t="s">
        <v>31</v>
      </c>
      <c r="L22" s="14" t="s">
        <v>34</v>
      </c>
      <c r="M22" s="15"/>
      <c r="N22" s="10" t="s">
        <v>35</v>
      </c>
      <c r="O22" s="15"/>
      <c r="P22" s="10" t="s">
        <v>35</v>
      </c>
      <c r="Q22" s="15"/>
      <c r="R22" s="1"/>
    </row>
    <row r="23" spans="1:18" ht="18.75">
      <c r="A23" s="17" t="s">
        <v>61</v>
      </c>
      <c r="B23" s="17" t="s">
        <v>62</v>
      </c>
      <c r="C23" s="17">
        <v>125.18</v>
      </c>
      <c r="D23" s="17">
        <f>+G23*H2</f>
        <v>1.9012956675109862E+30</v>
      </c>
      <c r="E23" s="17">
        <f>+D23/E2</f>
        <v>0.955905312976866</v>
      </c>
      <c r="F23" s="17">
        <f>+H2/(G23*L23)</f>
        <v>8.355228792551562</v>
      </c>
      <c r="G23" s="17">
        <f>+K24*L24*L24</f>
        <v>798863725844.9521</v>
      </c>
      <c r="H23" s="17">
        <f>+G23/A2/B2</f>
        <v>849.8972178536242</v>
      </c>
      <c r="I23" s="17" t="s">
        <v>38</v>
      </c>
      <c r="J23" s="1" t="s">
        <v>63</v>
      </c>
      <c r="K23">
        <f>+L23*B2</f>
        <v>2240406.338642391</v>
      </c>
      <c r="L23" s="17">
        <f>SQRT(R23)</f>
        <v>356570.90951145766</v>
      </c>
      <c r="M23" s="1" t="s">
        <v>64</v>
      </c>
      <c r="N23" s="1" t="s">
        <v>47</v>
      </c>
      <c r="O23" s="1" t="s">
        <v>47</v>
      </c>
      <c r="P23" s="1" t="s">
        <v>43</v>
      </c>
      <c r="Q23" s="1" t="s">
        <v>48</v>
      </c>
      <c r="R23">
        <f>+G23/B2</f>
        <v>127142813509.82814</v>
      </c>
    </row>
    <row r="24" spans="9:17" ht="18.75">
      <c r="I24" s="17" t="s">
        <v>39</v>
      </c>
      <c r="J24">
        <v>0.044</v>
      </c>
      <c r="K24">
        <f>+J24*A2*B2</f>
        <v>41357946.818496</v>
      </c>
      <c r="L24" s="17">
        <f>+K24/M24</f>
        <v>138.98145869255237</v>
      </c>
      <c r="M24">
        <f>+N24*C2</f>
        <v>297578.88</v>
      </c>
      <c r="N24">
        <v>3.4442</v>
      </c>
      <c r="O24">
        <f>+N24/D2</f>
        <v>0.009429705681040384</v>
      </c>
      <c r="P24">
        <f>+F2*0.48</f>
        <v>9.1152E+26</v>
      </c>
      <c r="Q24" s="17">
        <f>+P24/H2</f>
        <v>382991596.6386554</v>
      </c>
    </row>
    <row r="25" spans="9:18" ht="18.75">
      <c r="I25" s="17" t="s">
        <v>40</v>
      </c>
      <c r="J25" s="17">
        <f>+K25/A2/B2</f>
        <v>2.3835293210488735</v>
      </c>
      <c r="K25">
        <f>+K23*1000</f>
        <v>2240406338.6423907</v>
      </c>
      <c r="L25" s="17">
        <f>SQRT(R25)</f>
        <v>18.88308527522602</v>
      </c>
      <c r="M25">
        <f>+K25/L25</f>
        <v>118646201.4013001</v>
      </c>
      <c r="N25">
        <f>+M25/C2</f>
        <v>1373.2199236261586</v>
      </c>
      <c r="O25">
        <f>+N25/D2</f>
        <v>3.759671248805362</v>
      </c>
      <c r="P25" s="1" t="s">
        <v>65</v>
      </c>
      <c r="Q25" s="1" t="s">
        <v>66</v>
      </c>
      <c r="R25">
        <f>+G23/K25</f>
        <v>356.57090951145767</v>
      </c>
    </row>
    <row r="26" spans="1:18" ht="18.75">
      <c r="A26" s="9" t="s">
        <v>11</v>
      </c>
      <c r="B26" s="9" t="s">
        <v>12</v>
      </c>
      <c r="C26" s="9" t="s">
        <v>13</v>
      </c>
      <c r="D26" s="9" t="s">
        <v>14</v>
      </c>
      <c r="E26" s="9" t="s">
        <v>15</v>
      </c>
      <c r="F26" s="9" t="s">
        <v>16</v>
      </c>
      <c r="G26" s="9" t="s">
        <v>17</v>
      </c>
      <c r="H26" s="9" t="s">
        <v>18</v>
      </c>
      <c r="I26" s="14" t="s">
        <v>19</v>
      </c>
      <c r="J26" s="14" t="s">
        <v>46</v>
      </c>
      <c r="K26" s="14" t="s">
        <v>20</v>
      </c>
      <c r="L26" s="14" t="s">
        <v>21</v>
      </c>
      <c r="M26" s="14" t="s">
        <v>22</v>
      </c>
      <c r="N26" s="14" t="s">
        <v>23</v>
      </c>
      <c r="O26" s="14" t="s">
        <v>24</v>
      </c>
      <c r="P26" s="14" t="s">
        <v>25</v>
      </c>
      <c r="Q26" s="14" t="s">
        <v>26</v>
      </c>
      <c r="R26" s="13" t="s">
        <v>27</v>
      </c>
    </row>
    <row r="27" spans="1:18" ht="18.75">
      <c r="A27" s="11"/>
      <c r="B27" s="12"/>
      <c r="C27" s="11" t="s">
        <v>28</v>
      </c>
      <c r="D27" s="12" t="s">
        <v>29</v>
      </c>
      <c r="E27" s="12"/>
      <c r="F27" s="11" t="s">
        <v>30</v>
      </c>
      <c r="G27" s="11" t="s">
        <v>31</v>
      </c>
      <c r="H27" s="11" t="s">
        <v>32</v>
      </c>
      <c r="I27" s="14" t="s">
        <v>33</v>
      </c>
      <c r="J27" s="10" t="s">
        <v>35</v>
      </c>
      <c r="K27" s="14" t="s">
        <v>31</v>
      </c>
      <c r="L27" s="14" t="s">
        <v>34</v>
      </c>
      <c r="M27" s="15"/>
      <c r="N27" s="10" t="s">
        <v>35</v>
      </c>
      <c r="O27" s="15"/>
      <c r="P27" s="10" t="s">
        <v>35</v>
      </c>
      <c r="Q27" s="15"/>
      <c r="R27" s="1"/>
    </row>
    <row r="28" spans="1:18" ht="18.75">
      <c r="A28" s="18" t="s">
        <v>67</v>
      </c>
      <c r="B28" s="17" t="s">
        <v>68</v>
      </c>
      <c r="C28" s="17">
        <v>36.2</v>
      </c>
      <c r="D28" s="17">
        <f>+G28*H2</f>
        <v>1.7745119773690194E+30</v>
      </c>
      <c r="E28" s="17">
        <f>+D28/E2</f>
        <v>0.8921628845495322</v>
      </c>
      <c r="F28" s="17">
        <f>+H2/(G28*L28)</f>
        <v>9.266472304134297</v>
      </c>
      <c r="G28" s="17">
        <f>+K29*L29*L29</f>
        <v>745593267802.109</v>
      </c>
      <c r="H28" s="17">
        <f>+G28/A2/B2</f>
        <v>793.2237044374102</v>
      </c>
      <c r="I28" s="17" t="s">
        <v>38</v>
      </c>
      <c r="J28" s="1" t="s">
        <v>69</v>
      </c>
      <c r="K28">
        <f>+L28*B2</f>
        <v>2164419.4649499464</v>
      </c>
      <c r="L28" s="17">
        <f>SQRT(R28)</f>
        <v>344477.25123343937</v>
      </c>
      <c r="M28" s="1" t="s">
        <v>70</v>
      </c>
      <c r="N28" s="1" t="s">
        <v>42</v>
      </c>
      <c r="O28" s="1" t="s">
        <v>57</v>
      </c>
      <c r="P28" s="1" t="s">
        <v>57</v>
      </c>
      <c r="Q28" s="1" t="s">
        <v>66</v>
      </c>
      <c r="R28">
        <f>+G28/B2</f>
        <v>118664576617.3461</v>
      </c>
    </row>
    <row r="29" spans="1:17" ht="18.75">
      <c r="A29" s="17" t="s">
        <v>73</v>
      </c>
      <c r="I29" s="17" t="s">
        <v>39</v>
      </c>
      <c r="J29">
        <v>0.296</v>
      </c>
      <c r="K29">
        <f>+J29*A2*B2</f>
        <v>278226187.688064</v>
      </c>
      <c r="L29" s="17">
        <f>+K29/M29</f>
        <v>51.76687949151028</v>
      </c>
      <c r="M29">
        <f>+N29*C2</f>
        <v>5374598.4</v>
      </c>
      <c r="N29">
        <v>62.206</v>
      </c>
      <c r="O29">
        <f>+N29/D2</f>
        <v>0.1703107460643395</v>
      </c>
      <c r="P29">
        <f>+F2*0.227</f>
        <v>4.31073E+26</v>
      </c>
      <c r="Q29" s="17">
        <f>+P29/H2</f>
        <v>181123109.2436975</v>
      </c>
    </row>
    <row r="30" spans="9:18" ht="18.75">
      <c r="I30" s="17" t="s">
        <v>40</v>
      </c>
      <c r="J30" s="17">
        <f>+K30/A2/B2</f>
        <v>2.3026882082842453</v>
      </c>
      <c r="K30">
        <f>+K28*1000</f>
        <v>2164419464.9499464</v>
      </c>
      <c r="L30" s="17">
        <f>SQRT(R30)</f>
        <v>18.560098362709162</v>
      </c>
      <c r="M30">
        <f>+K30/L30</f>
        <v>116616810.03257424</v>
      </c>
      <c r="N30">
        <f>+M30/C2</f>
        <v>1349.7315975992387</v>
      </c>
      <c r="O30" s="16">
        <f>+N30/D2</f>
        <v>3.6953637169041444</v>
      </c>
      <c r="P30" s="1" t="s">
        <v>71</v>
      </c>
      <c r="Q30" s="1" t="s">
        <v>69</v>
      </c>
      <c r="R30">
        <f>+G28/K30</f>
        <v>344.47725123343935</v>
      </c>
    </row>
    <row r="31" spans="1:18" ht="18.75">
      <c r="A31" s="9" t="s">
        <v>11</v>
      </c>
      <c r="B31" s="9" t="s">
        <v>12</v>
      </c>
      <c r="C31" s="9" t="s">
        <v>13</v>
      </c>
      <c r="D31" s="9" t="s">
        <v>14</v>
      </c>
      <c r="E31" s="9" t="s">
        <v>15</v>
      </c>
      <c r="F31" s="9" t="s">
        <v>16</v>
      </c>
      <c r="G31" s="9" t="s">
        <v>17</v>
      </c>
      <c r="H31" s="9" t="s">
        <v>18</v>
      </c>
      <c r="I31" s="14" t="s">
        <v>19</v>
      </c>
      <c r="J31" s="14" t="s">
        <v>46</v>
      </c>
      <c r="K31" s="14" t="s">
        <v>20</v>
      </c>
      <c r="L31" s="14" t="s">
        <v>21</v>
      </c>
      <c r="M31" s="14" t="s">
        <v>22</v>
      </c>
      <c r="N31" s="14" t="s">
        <v>23</v>
      </c>
      <c r="O31" s="14" t="s">
        <v>24</v>
      </c>
      <c r="P31" s="14" t="s">
        <v>25</v>
      </c>
      <c r="Q31" s="14" t="s">
        <v>26</v>
      </c>
      <c r="R31" s="13" t="s">
        <v>27</v>
      </c>
    </row>
    <row r="32" spans="1:18" ht="18.75">
      <c r="A32" s="11"/>
      <c r="B32" s="12"/>
      <c r="C32" s="11" t="s">
        <v>28</v>
      </c>
      <c r="D32" s="12" t="s">
        <v>29</v>
      </c>
      <c r="E32" s="12"/>
      <c r="F32" s="11" t="s">
        <v>30</v>
      </c>
      <c r="G32" s="11" t="s">
        <v>31</v>
      </c>
      <c r="H32" s="11" t="s">
        <v>32</v>
      </c>
      <c r="I32" s="14" t="s">
        <v>33</v>
      </c>
      <c r="J32" s="10" t="s">
        <v>35</v>
      </c>
      <c r="K32" s="14" t="s">
        <v>31</v>
      </c>
      <c r="L32" s="14" t="s">
        <v>34</v>
      </c>
      <c r="M32" s="15"/>
      <c r="N32" s="10" t="s">
        <v>35</v>
      </c>
      <c r="O32" s="15"/>
      <c r="P32" s="10" t="s">
        <v>35</v>
      </c>
      <c r="Q32" s="15"/>
      <c r="R32" s="1"/>
    </row>
    <row r="33" spans="1:18" ht="18.75">
      <c r="A33" s="17" t="s">
        <v>72</v>
      </c>
      <c r="B33" s="18" t="s">
        <v>74</v>
      </c>
      <c r="C33" s="17">
        <v>144</v>
      </c>
      <c r="D33" s="17">
        <f>+G33*H2</f>
        <v>2.0021820586237905E+30</v>
      </c>
      <c r="E33" s="17">
        <f>+D33/E2</f>
        <v>1.0066274804543944</v>
      </c>
      <c r="F33" s="17">
        <f>+H2/(G33*L33)</f>
        <v>7.731744365635637</v>
      </c>
      <c r="G33" s="17">
        <f>+K34*L34*L34</f>
        <v>841252965808.3153</v>
      </c>
      <c r="H33" s="17">
        <f>+G33/A2/B2</f>
        <v>894.9943926861489</v>
      </c>
      <c r="I33" s="17" t="s">
        <v>38</v>
      </c>
      <c r="J33" s="1" t="s">
        <v>75</v>
      </c>
      <c r="K33">
        <f>+L33*B2</f>
        <v>2299078.214147315</v>
      </c>
      <c r="L33" s="17">
        <f>SQRT(R33)</f>
        <v>365908.8066824731</v>
      </c>
      <c r="M33" s="1" t="s">
        <v>44</v>
      </c>
      <c r="N33" s="1" t="s">
        <v>42</v>
      </c>
      <c r="O33" s="1" t="s">
        <v>42</v>
      </c>
      <c r="P33" s="1" t="s">
        <v>76</v>
      </c>
      <c r="Q33" s="1" t="s">
        <v>77</v>
      </c>
      <c r="R33">
        <f>+G33/B2</f>
        <v>133889254807.79146</v>
      </c>
    </row>
    <row r="34" spans="9:17" ht="18.75">
      <c r="I34" s="17" t="s">
        <v>39</v>
      </c>
      <c r="J34">
        <v>1.28</v>
      </c>
      <c r="K34">
        <f>+J34*A2*B2</f>
        <v>1203140271.08352</v>
      </c>
      <c r="L34" s="17">
        <f>+K34/M34</f>
        <v>26.442661917553874</v>
      </c>
      <c r="M34">
        <f>+N34*C2</f>
        <v>45499968</v>
      </c>
      <c r="N34">
        <v>526.62</v>
      </c>
      <c r="O34">
        <f>+N34/D2</f>
        <v>1.4418069815195071</v>
      </c>
      <c r="P34">
        <f>+F2/1.56</f>
        <v>1.2173076923076923E+27</v>
      </c>
      <c r="Q34" s="17">
        <f>+P34/H2</f>
        <v>511473820.2973497</v>
      </c>
    </row>
    <row r="35" spans="9:18" ht="18.75">
      <c r="I35" s="17" t="s">
        <v>40</v>
      </c>
      <c r="J35" s="17">
        <f>+K35/A2/B2</f>
        <v>2.4459493085193866</v>
      </c>
      <c r="K35">
        <f>+K33*1000</f>
        <v>2299078214.147315</v>
      </c>
      <c r="L35" s="17">
        <f>SQRT(R35)</f>
        <v>19.128742945694917</v>
      </c>
      <c r="M35">
        <f>+K35/L35</f>
        <v>120189717.67639032</v>
      </c>
      <c r="N35">
        <f>+M35/C2</f>
        <v>1391.0846953285916</v>
      </c>
      <c r="O35" s="16">
        <f>+N35/D2</f>
        <v>3.808582328072804</v>
      </c>
      <c r="P35" s="1" t="s">
        <v>78</v>
      </c>
      <c r="Q35" s="1" t="s">
        <v>76</v>
      </c>
      <c r="R35">
        <f>+G33/K35</f>
        <v>365.9088066824731</v>
      </c>
    </row>
    <row r="36" spans="1:18" ht="18.75">
      <c r="A36" s="9" t="s">
        <v>11</v>
      </c>
      <c r="B36" s="9" t="s">
        <v>12</v>
      </c>
      <c r="C36" s="9" t="s">
        <v>13</v>
      </c>
      <c r="D36" s="9" t="s">
        <v>14</v>
      </c>
      <c r="E36" s="9" t="s">
        <v>15</v>
      </c>
      <c r="F36" s="9" t="s">
        <v>16</v>
      </c>
      <c r="G36" s="9" t="s">
        <v>17</v>
      </c>
      <c r="H36" s="9" t="s">
        <v>18</v>
      </c>
      <c r="I36" s="14" t="s">
        <v>19</v>
      </c>
      <c r="J36" s="14" t="s">
        <v>46</v>
      </c>
      <c r="K36" s="14" t="s">
        <v>20</v>
      </c>
      <c r="L36" s="14" t="s">
        <v>21</v>
      </c>
      <c r="M36" s="14" t="s">
        <v>22</v>
      </c>
      <c r="N36" s="14" t="s">
        <v>23</v>
      </c>
      <c r="O36" s="14" t="s">
        <v>24</v>
      </c>
      <c r="P36" s="14" t="s">
        <v>25</v>
      </c>
      <c r="Q36" s="14" t="s">
        <v>26</v>
      </c>
      <c r="R36" s="13" t="s">
        <v>27</v>
      </c>
    </row>
    <row r="37" spans="1:18" ht="18.75">
      <c r="A37" s="11"/>
      <c r="B37" s="12"/>
      <c r="C37" s="11" t="s">
        <v>28</v>
      </c>
      <c r="D37" s="12" t="s">
        <v>29</v>
      </c>
      <c r="E37" s="12"/>
      <c r="F37" s="11" t="s">
        <v>30</v>
      </c>
      <c r="G37" s="11" t="s">
        <v>31</v>
      </c>
      <c r="H37" s="11" t="s">
        <v>32</v>
      </c>
      <c r="I37" s="14" t="s">
        <v>33</v>
      </c>
      <c r="J37" s="10" t="s">
        <v>35</v>
      </c>
      <c r="K37" s="14" t="s">
        <v>31</v>
      </c>
      <c r="L37" s="14" t="s">
        <v>34</v>
      </c>
      <c r="M37" s="15"/>
      <c r="N37" s="10" t="s">
        <v>35</v>
      </c>
      <c r="O37" s="15"/>
      <c r="P37" s="10" t="s">
        <v>35</v>
      </c>
      <c r="Q37" s="15"/>
      <c r="R37" s="1"/>
    </row>
    <row r="38" spans="1:18" ht="18.75">
      <c r="A38" s="17" t="s">
        <v>79</v>
      </c>
      <c r="B38" s="18" t="s">
        <v>74</v>
      </c>
      <c r="C38" s="17">
        <v>106.6</v>
      </c>
      <c r="D38" s="17">
        <f>+G38*H2</f>
        <v>1.734840343224642E+30</v>
      </c>
      <c r="E38" s="17">
        <f>+D38/E2</f>
        <v>0.8722173671315446</v>
      </c>
      <c r="F38" s="17">
        <f>+H2/(G38*L38)</f>
        <v>9.586135536828973</v>
      </c>
      <c r="G38" s="17">
        <f>+K39*L39*L39</f>
        <v>728924513959.9337</v>
      </c>
      <c r="H38" s="17">
        <f>+G38/A2/B2</f>
        <v>775.4901072577815</v>
      </c>
      <c r="I38" s="17" t="s">
        <v>38</v>
      </c>
      <c r="J38" s="1" t="s">
        <v>80</v>
      </c>
      <c r="K38">
        <f>+L38*B2</f>
        <v>2140088.434180479</v>
      </c>
      <c r="L38" s="17">
        <f>SQRT(R38)</f>
        <v>340604.8564713011</v>
      </c>
      <c r="M38" s="1" t="s">
        <v>59</v>
      </c>
      <c r="N38" s="1" t="s">
        <v>81</v>
      </c>
      <c r="O38" s="1" t="s">
        <v>51</v>
      </c>
      <c r="P38" s="1" t="s">
        <v>82</v>
      </c>
      <c r="Q38" s="1" t="s">
        <v>66</v>
      </c>
      <c r="R38">
        <f>+G38/B2</f>
        <v>116011668251.83565</v>
      </c>
    </row>
    <row r="39" spans="9:17" ht="21">
      <c r="I39" s="17" t="s">
        <v>39</v>
      </c>
      <c r="J39">
        <v>1.65</v>
      </c>
      <c r="K39">
        <f>+J39*A2*B2</f>
        <v>1550923005.6936</v>
      </c>
      <c r="L39" s="17">
        <f>+K39/M39</f>
        <v>21.679345110004025</v>
      </c>
      <c r="M39">
        <f>+N39*C2</f>
        <v>71539200</v>
      </c>
      <c r="N39">
        <v>828</v>
      </c>
      <c r="O39">
        <f>+N39/D2</f>
        <v>2.2669404517453797</v>
      </c>
      <c r="P39">
        <f>+F2*0.804</f>
        <v>1.526796E+27</v>
      </c>
      <c r="Q39" s="19">
        <f>+P39/H2</f>
        <v>641510924.3697479</v>
      </c>
    </row>
    <row r="40" spans="9:18" ht="18.75">
      <c r="I40" s="17" t="s">
        <v>40</v>
      </c>
      <c r="J40">
        <f>+K40/A2/B2</f>
        <v>2.2768028480037925</v>
      </c>
      <c r="K40">
        <f>+K38*1000</f>
        <v>2140088434.180479</v>
      </c>
      <c r="L40" s="17">
        <f>SQRT(R40)</f>
        <v>18.45548310045828</v>
      </c>
      <c r="M40">
        <f>+K40/L40</f>
        <v>115959491.41679944</v>
      </c>
      <c r="N40">
        <f>+M40/C2</f>
        <v>1342.1237432499936</v>
      </c>
      <c r="O40" s="3">
        <f>+N40/D2</f>
        <v>3.674534546885677</v>
      </c>
      <c r="P40" s="1" t="s">
        <v>70</v>
      </c>
      <c r="Q40" s="1" t="s">
        <v>78</v>
      </c>
      <c r="R40">
        <f>+G38/K40</f>
        <v>340.60485647130116</v>
      </c>
    </row>
    <row r="41" spans="1:18" ht="18.75">
      <c r="A41" s="9" t="s">
        <v>11</v>
      </c>
      <c r="B41" s="9" t="s">
        <v>12</v>
      </c>
      <c r="C41" s="9" t="s">
        <v>13</v>
      </c>
      <c r="D41" s="9" t="s">
        <v>14</v>
      </c>
      <c r="E41" s="9" t="s">
        <v>15</v>
      </c>
      <c r="F41" s="9" t="s">
        <v>16</v>
      </c>
      <c r="G41" s="9" t="s">
        <v>17</v>
      </c>
      <c r="H41" s="9" t="s">
        <v>18</v>
      </c>
      <c r="I41" s="14" t="s">
        <v>19</v>
      </c>
      <c r="J41" s="14" t="s">
        <v>46</v>
      </c>
      <c r="K41" s="14" t="s">
        <v>20</v>
      </c>
      <c r="L41" s="14" t="s">
        <v>21</v>
      </c>
      <c r="M41" s="14" t="s">
        <v>22</v>
      </c>
      <c r="N41" s="14" t="s">
        <v>23</v>
      </c>
      <c r="O41" s="14" t="s">
        <v>24</v>
      </c>
      <c r="P41" s="14" t="s">
        <v>25</v>
      </c>
      <c r="Q41" s="14" t="s">
        <v>26</v>
      </c>
      <c r="R41" s="13" t="s">
        <v>27</v>
      </c>
    </row>
    <row r="42" spans="1:18" ht="18.75">
      <c r="A42" s="11"/>
      <c r="B42" s="12"/>
      <c r="C42" s="11" t="s">
        <v>28</v>
      </c>
      <c r="D42" s="12" t="s">
        <v>29</v>
      </c>
      <c r="E42" s="12"/>
      <c r="F42" s="11" t="s">
        <v>30</v>
      </c>
      <c r="G42" s="11" t="s">
        <v>31</v>
      </c>
      <c r="H42" s="11" t="s">
        <v>32</v>
      </c>
      <c r="I42" s="14" t="s">
        <v>33</v>
      </c>
      <c r="J42" s="10" t="s">
        <v>35</v>
      </c>
      <c r="K42" s="14" t="s">
        <v>31</v>
      </c>
      <c r="L42" s="14" t="s">
        <v>34</v>
      </c>
      <c r="M42" s="15"/>
      <c r="N42" s="10" t="s">
        <v>35</v>
      </c>
      <c r="O42" s="15"/>
      <c r="P42" s="10" t="s">
        <v>35</v>
      </c>
      <c r="Q42" s="15"/>
      <c r="R42" s="1"/>
    </row>
    <row r="43" spans="1:18" ht="18.75">
      <c r="A43" s="17" t="s">
        <v>83</v>
      </c>
      <c r="B43" s="17" t="s">
        <v>84</v>
      </c>
      <c r="C43" s="17">
        <v>71.39</v>
      </c>
      <c r="D43" s="17">
        <f>+G43*H2</f>
        <v>1.6631931577467784E+30</v>
      </c>
      <c r="E43" s="17">
        <f>+D43/E2</f>
        <v>0.8361956549757559</v>
      </c>
      <c r="F43" s="17">
        <f>+H2/(G43*L43)</f>
        <v>10.21218797180322</v>
      </c>
      <c r="G43" s="17">
        <f>+K44*L44*L44</f>
        <v>698820654515.4531</v>
      </c>
      <c r="H43" s="17">
        <f>+G43/A2/B2</f>
        <v>743.4631349960739</v>
      </c>
      <c r="I43" s="17" t="s">
        <v>38</v>
      </c>
      <c r="J43" s="1" t="s">
        <v>69</v>
      </c>
      <c r="K43">
        <f>+L43*B2</f>
        <v>2095430.7281443344</v>
      </c>
      <c r="L43" s="17">
        <f>SQRT(R43)</f>
        <v>333497.3784288793</v>
      </c>
      <c r="M43" s="1" t="s">
        <v>44</v>
      </c>
      <c r="N43" s="1" t="s">
        <v>51</v>
      </c>
      <c r="O43" s="1" t="s">
        <v>66</v>
      </c>
      <c r="P43" s="1" t="s">
        <v>77</v>
      </c>
      <c r="Q43" s="1" t="s">
        <v>85</v>
      </c>
      <c r="R43">
        <f>+G43/B2</f>
        <v>111220501418.93512</v>
      </c>
    </row>
    <row r="44" spans="9:17" ht="21">
      <c r="I44" s="17" t="s">
        <v>39</v>
      </c>
      <c r="J44">
        <v>0.115</v>
      </c>
      <c r="K44">
        <f>+J44*A2*B2</f>
        <v>108094633.73016</v>
      </c>
      <c r="L44" s="17">
        <f>+K44/M44</f>
        <v>80.40458212100114</v>
      </c>
      <c r="M44">
        <f>+N44*C2</f>
        <v>1344384</v>
      </c>
      <c r="N44">
        <v>15.56</v>
      </c>
      <c r="O44">
        <f>+N44/D2</f>
        <v>0.042600958247775496</v>
      </c>
      <c r="P44">
        <f>+F2*0.0442</f>
        <v>8.39358E+25</v>
      </c>
      <c r="Q44" s="19">
        <f>+P44/H2</f>
        <v>35267142.85714286</v>
      </c>
    </row>
    <row r="45" spans="9:18" ht="18.75">
      <c r="I45" s="17" t="s">
        <v>40</v>
      </c>
      <c r="J45" s="17">
        <f>+K45/A2/B2</f>
        <v>2.229292291587302</v>
      </c>
      <c r="K45">
        <f>+K43*1000</f>
        <v>2095430728.1443343</v>
      </c>
      <c r="L45" s="17">
        <f>SQRT(R45)</f>
        <v>18.261910590868617</v>
      </c>
      <c r="M45">
        <f>+K45/L45</f>
        <v>114743236.62454566</v>
      </c>
      <c r="N45">
        <f>+M45/C2</f>
        <v>1328.0467201915008</v>
      </c>
      <c r="O45" s="3">
        <f>+N45/D2</f>
        <v>3.635993758224506</v>
      </c>
      <c r="P45" s="1" t="s">
        <v>48</v>
      </c>
      <c r="Q45" s="1" t="s">
        <v>43</v>
      </c>
      <c r="R45">
        <f>+G43/K45</f>
        <v>333.4973784288793</v>
      </c>
    </row>
    <row r="46" spans="1:18" ht="18.75">
      <c r="A46" s="9" t="s">
        <v>11</v>
      </c>
      <c r="B46" s="9" t="s">
        <v>12</v>
      </c>
      <c r="C46" s="9" t="s">
        <v>13</v>
      </c>
      <c r="D46" s="9" t="s">
        <v>14</v>
      </c>
      <c r="E46" s="9" t="s">
        <v>15</v>
      </c>
      <c r="F46" s="9" t="s">
        <v>16</v>
      </c>
      <c r="G46" s="9" t="s">
        <v>17</v>
      </c>
      <c r="H46" s="9" t="s">
        <v>18</v>
      </c>
      <c r="I46" s="14" t="s">
        <v>19</v>
      </c>
      <c r="J46" s="14" t="s">
        <v>46</v>
      </c>
      <c r="K46" s="14" t="s">
        <v>20</v>
      </c>
      <c r="L46" s="14" t="s">
        <v>21</v>
      </c>
      <c r="M46" s="14" t="s">
        <v>22</v>
      </c>
      <c r="N46" s="14" t="s">
        <v>23</v>
      </c>
      <c r="O46" s="14" t="s">
        <v>24</v>
      </c>
      <c r="P46" s="14" t="s">
        <v>25</v>
      </c>
      <c r="Q46" s="14" t="s">
        <v>26</v>
      </c>
      <c r="R46" s="13" t="s">
        <v>27</v>
      </c>
    </row>
    <row r="47" spans="1:18" ht="18.75">
      <c r="A47" s="11"/>
      <c r="B47" s="12"/>
      <c r="C47" s="11" t="s">
        <v>28</v>
      </c>
      <c r="D47" s="12" t="s">
        <v>29</v>
      </c>
      <c r="E47" s="12"/>
      <c r="F47" s="11" t="s">
        <v>30</v>
      </c>
      <c r="G47" s="11" t="s">
        <v>31</v>
      </c>
      <c r="H47" s="11" t="s">
        <v>32</v>
      </c>
      <c r="I47" s="14" t="s">
        <v>33</v>
      </c>
      <c r="J47" s="10" t="s">
        <v>35</v>
      </c>
      <c r="K47" s="14" t="s">
        <v>31</v>
      </c>
      <c r="L47" s="14" t="s">
        <v>34</v>
      </c>
      <c r="M47" s="15"/>
      <c r="N47" s="10" t="s">
        <v>35</v>
      </c>
      <c r="O47" s="15"/>
      <c r="P47" s="10" t="s">
        <v>35</v>
      </c>
      <c r="Q47" s="15"/>
      <c r="R47" s="1"/>
    </row>
    <row r="48" spans="1:18" ht="18.75">
      <c r="A48" s="17" t="s">
        <v>86</v>
      </c>
      <c r="B48" s="17" t="s">
        <v>68</v>
      </c>
      <c r="C48" s="17">
        <v>253</v>
      </c>
      <c r="D48" s="17">
        <f>+G48*H2</f>
        <v>2.1329486995611422E+30</v>
      </c>
      <c r="E48" s="17">
        <f>+D48/E2</f>
        <v>1.0723723979694029</v>
      </c>
      <c r="F48" s="17">
        <f>+H2/(G48*L48)</f>
        <v>7.031730529812545</v>
      </c>
      <c r="G48" s="17">
        <f>+K49*L49*L49</f>
        <v>896196932588.7152</v>
      </c>
      <c r="H48" s="17">
        <f>+G48/A2/B2</f>
        <v>953.4483229295244</v>
      </c>
      <c r="I48" s="17" t="s">
        <v>38</v>
      </c>
      <c r="J48" s="1" t="s">
        <v>87</v>
      </c>
      <c r="K48">
        <f>+L48*B2</f>
        <v>2372969.567196641</v>
      </c>
      <c r="L48" s="17">
        <f>SQRT(R48)</f>
        <v>377668.9532716834</v>
      </c>
      <c r="M48" s="1" t="s">
        <v>88</v>
      </c>
      <c r="N48" s="1" t="s">
        <v>42</v>
      </c>
      <c r="O48" s="1" t="s">
        <v>43</v>
      </c>
      <c r="P48" s="1" t="s">
        <v>58</v>
      </c>
      <c r="Q48" s="1" t="s">
        <v>43</v>
      </c>
      <c r="R48">
        <f>+G48/B2</f>
        <v>142633838265.329</v>
      </c>
    </row>
    <row r="49" spans="9:17" ht="18.75">
      <c r="I49" s="17" t="s">
        <v>39</v>
      </c>
      <c r="J49">
        <v>1.09</v>
      </c>
      <c r="K49">
        <f>+J49*A2*B2</f>
        <v>1024549137.09456</v>
      </c>
      <c r="L49" s="17">
        <f>+K49/M49</f>
        <v>29.575720313213594</v>
      </c>
      <c r="M49">
        <f>+N49*C2</f>
        <v>34641561.6</v>
      </c>
      <c r="N49">
        <v>400.944</v>
      </c>
      <c r="O49">
        <f>+N49/D2</f>
        <v>1.0977248459958933</v>
      </c>
      <c r="P49">
        <f>+F2/1.65</f>
        <v>1.150909090909091E+27</v>
      </c>
      <c r="Q49" s="17">
        <f>+P49/H2</f>
        <v>483575248.2811307</v>
      </c>
    </row>
    <row r="50" spans="9:18" ht="18.75">
      <c r="I50" s="17" t="s">
        <v>40</v>
      </c>
      <c r="J50" s="17">
        <f>+K50/A2/B2</f>
        <v>2.524561033333452</v>
      </c>
      <c r="K50">
        <f>+K48*1000</f>
        <v>2372969567.196641</v>
      </c>
      <c r="L50" s="17">
        <f>SQRT(R50)</f>
        <v>19.43370662718987</v>
      </c>
      <c r="M50">
        <f>+K50/L50</f>
        <v>122105865.47995935</v>
      </c>
      <c r="N50">
        <f>+M50/C2</f>
        <v>1413.262331943974</v>
      </c>
      <c r="O50" s="3">
        <f>+N50/D2</f>
        <v>3.869301387936958</v>
      </c>
      <c r="P50" s="1" t="s">
        <v>71</v>
      </c>
      <c r="Q50" s="1" t="s">
        <v>44</v>
      </c>
      <c r="R50">
        <f>+G48/K50</f>
        <v>377.6689532716835</v>
      </c>
    </row>
    <row r="51" spans="1:18" ht="18.75">
      <c r="A51" s="9" t="s">
        <v>11</v>
      </c>
      <c r="B51" s="9" t="s">
        <v>12</v>
      </c>
      <c r="C51" s="9" t="s">
        <v>13</v>
      </c>
      <c r="D51" s="9" t="s">
        <v>14</v>
      </c>
      <c r="E51" s="9" t="s">
        <v>15</v>
      </c>
      <c r="F51" s="9" t="s">
        <v>16</v>
      </c>
      <c r="G51" s="9" t="s">
        <v>17</v>
      </c>
      <c r="H51" s="9" t="s">
        <v>18</v>
      </c>
      <c r="I51" s="14" t="s">
        <v>19</v>
      </c>
      <c r="J51" s="14" t="s">
        <v>46</v>
      </c>
      <c r="K51" s="14" t="s">
        <v>20</v>
      </c>
      <c r="L51" s="14" t="s">
        <v>21</v>
      </c>
      <c r="M51" s="14" t="s">
        <v>22</v>
      </c>
      <c r="N51" s="14" t="s">
        <v>23</v>
      </c>
      <c r="O51" s="14" t="s">
        <v>24</v>
      </c>
      <c r="P51" s="14" t="s">
        <v>25</v>
      </c>
      <c r="Q51" s="14" t="s">
        <v>26</v>
      </c>
      <c r="R51" s="13" t="s">
        <v>27</v>
      </c>
    </row>
    <row r="52" spans="1:18" ht="18.75">
      <c r="A52" s="11"/>
      <c r="B52" s="12"/>
      <c r="C52" s="11" t="s">
        <v>28</v>
      </c>
      <c r="D52" s="12" t="s">
        <v>29</v>
      </c>
      <c r="E52" s="12"/>
      <c r="F52" s="11" t="s">
        <v>30</v>
      </c>
      <c r="G52" s="11" t="s">
        <v>31</v>
      </c>
      <c r="H52" s="11" t="s">
        <v>32</v>
      </c>
      <c r="I52" s="14" t="s">
        <v>33</v>
      </c>
      <c r="J52" s="10" t="s">
        <v>35</v>
      </c>
      <c r="K52" s="14" t="s">
        <v>31</v>
      </c>
      <c r="L52" s="14" t="s">
        <v>34</v>
      </c>
      <c r="M52" s="15"/>
      <c r="N52" s="10" t="s">
        <v>35</v>
      </c>
      <c r="O52" s="15"/>
      <c r="P52" s="10" t="s">
        <v>35</v>
      </c>
      <c r="Q52" s="15"/>
      <c r="R52" s="1"/>
    </row>
    <row r="53" spans="1:18" ht="18.75">
      <c r="A53" s="17" t="s">
        <v>90</v>
      </c>
      <c r="B53" s="17" t="s">
        <v>62</v>
      </c>
      <c r="C53" s="17">
        <v>326</v>
      </c>
      <c r="D53" s="17">
        <f>+G53*H2</f>
        <v>2.092751869506119E+30</v>
      </c>
      <c r="E53" s="17">
        <f>+D53/E2</f>
        <v>1.0521628303198185</v>
      </c>
      <c r="F53" s="17">
        <f>+H2/(G53*L53)</f>
        <v>7.2352947289495235</v>
      </c>
      <c r="G53" s="17">
        <f>++K54*L54*L54</f>
        <v>879307508195.8484</v>
      </c>
      <c r="H53" s="17">
        <f>+G53/A2/B2</f>
        <v>935.4799581906394</v>
      </c>
      <c r="I53" s="17" t="s">
        <v>38</v>
      </c>
      <c r="J53" s="1" t="s">
        <v>91</v>
      </c>
      <c r="K53">
        <f>+L53*B2</f>
        <v>2350503.1239069123</v>
      </c>
      <c r="L53" s="17">
        <f>SQRT(R53)</f>
        <v>374093.3161298244</v>
      </c>
      <c r="M53" s="1" t="s">
        <v>47</v>
      </c>
      <c r="N53" s="1" t="s">
        <v>43</v>
      </c>
      <c r="O53" s="1" t="s">
        <v>47</v>
      </c>
      <c r="P53" s="1" t="s">
        <v>51</v>
      </c>
      <c r="Q53" s="1" t="s">
        <v>58</v>
      </c>
      <c r="R53">
        <f>+G53/B2</f>
        <v>139945809173.00873</v>
      </c>
    </row>
    <row r="54" spans="1:17" ht="18.75">
      <c r="A54" s="17" t="s">
        <v>108</v>
      </c>
      <c r="I54" s="17" t="s">
        <v>93</v>
      </c>
      <c r="J54">
        <v>2.5</v>
      </c>
      <c r="K54">
        <f>+J54*A2*B2</f>
        <v>2349883341.96</v>
      </c>
      <c r="L54" s="17">
        <f>+K54/M54</f>
        <v>19.344042578433697</v>
      </c>
      <c r="M54">
        <f>+N54*C2</f>
        <v>121478400</v>
      </c>
      <c r="N54">
        <v>1406</v>
      </c>
      <c r="O54">
        <f>+N54/D2</f>
        <v>3.8494182067077345</v>
      </c>
      <c r="P54">
        <f>+F2/4.74</f>
        <v>4.006329113924051E+26</v>
      </c>
      <c r="Q54" s="17">
        <f>+P54/H2</f>
        <v>168333156.04722902</v>
      </c>
    </row>
    <row r="55" spans="9:18" ht="21">
      <c r="I55" s="17" t="s">
        <v>92</v>
      </c>
      <c r="J55" s="17">
        <f>+K55/A2/B2</f>
        <v>2.500659375229235</v>
      </c>
      <c r="K55">
        <f>+K53*1000</f>
        <v>2350503123.9069123</v>
      </c>
      <c r="L55" s="19">
        <f>SQRT(R55)</f>
        <v>19.341492086440084</v>
      </c>
      <c r="M55">
        <f>+K55/L55</f>
        <v>121526463.07752033</v>
      </c>
      <c r="N55">
        <f>+M55/C2</f>
        <v>1406.5562856194483</v>
      </c>
      <c r="O55" s="3">
        <f>+N55/D2</f>
        <v>3.850941233728811</v>
      </c>
      <c r="P55" s="1" t="s">
        <v>43</v>
      </c>
      <c r="Q55" s="1" t="s">
        <v>71</v>
      </c>
      <c r="R55">
        <f>+G53/K55</f>
        <v>374.0933161298244</v>
      </c>
    </row>
    <row r="56" spans="1:18" ht="18.75">
      <c r="A56" s="9" t="s">
        <v>11</v>
      </c>
      <c r="B56" s="9" t="s">
        <v>12</v>
      </c>
      <c r="C56" s="9" t="s">
        <v>13</v>
      </c>
      <c r="D56" s="9" t="s">
        <v>14</v>
      </c>
      <c r="E56" s="9" t="s">
        <v>15</v>
      </c>
      <c r="F56" s="9" t="s">
        <v>16</v>
      </c>
      <c r="G56" s="9" t="s">
        <v>17</v>
      </c>
      <c r="H56" s="9" t="s">
        <v>18</v>
      </c>
      <c r="I56" s="14" t="s">
        <v>19</v>
      </c>
      <c r="J56" s="14" t="s">
        <v>46</v>
      </c>
      <c r="K56" s="14" t="s">
        <v>20</v>
      </c>
      <c r="L56" s="14" t="s">
        <v>21</v>
      </c>
      <c r="M56" s="14" t="s">
        <v>22</v>
      </c>
      <c r="N56" s="14" t="s">
        <v>23</v>
      </c>
      <c r="O56" s="14" t="s">
        <v>24</v>
      </c>
      <c r="P56" s="14" t="s">
        <v>25</v>
      </c>
      <c r="Q56" s="14" t="s">
        <v>26</v>
      </c>
      <c r="R56" s="13" t="s">
        <v>27</v>
      </c>
    </row>
    <row r="57" spans="1:18" ht="18.75">
      <c r="A57" s="11"/>
      <c r="B57" s="12"/>
      <c r="C57" s="11" t="s">
        <v>28</v>
      </c>
      <c r="D57" s="12" t="s">
        <v>29</v>
      </c>
      <c r="E57" s="12"/>
      <c r="F57" s="11" t="s">
        <v>30</v>
      </c>
      <c r="G57" s="11" t="s">
        <v>31</v>
      </c>
      <c r="H57" s="11" t="s">
        <v>32</v>
      </c>
      <c r="I57" s="14" t="s">
        <v>33</v>
      </c>
      <c r="J57" s="10" t="s">
        <v>35</v>
      </c>
      <c r="K57" s="14" t="s">
        <v>31</v>
      </c>
      <c r="L57" s="14" t="s">
        <v>34</v>
      </c>
      <c r="M57" s="15"/>
      <c r="N57" s="10" t="s">
        <v>35</v>
      </c>
      <c r="O57" s="15"/>
      <c r="P57" s="10" t="s">
        <v>35</v>
      </c>
      <c r="Q57" s="15"/>
      <c r="R57" s="1"/>
    </row>
    <row r="58" spans="1:18" ht="18.75">
      <c r="A58" s="17" t="s">
        <v>94</v>
      </c>
      <c r="B58" s="17" t="s">
        <v>37</v>
      </c>
      <c r="C58" s="17">
        <v>131.5</v>
      </c>
      <c r="D58" s="17">
        <f>+G58*H2</f>
        <v>1.5013642332590376E+30</v>
      </c>
      <c r="E58" s="17">
        <f>+D58/E2</f>
        <v>0.7548337019904664</v>
      </c>
      <c r="F58" s="17">
        <f>+H2/(G58*L58)</f>
        <v>11.907037908858568</v>
      </c>
      <c r="G58" s="17">
        <f>+K59*L59*L59</f>
        <v>630825308092.0326</v>
      </c>
      <c r="H58" s="17">
        <f>+G58/A2/B2</f>
        <v>671.1240690419459</v>
      </c>
      <c r="I58" s="17" t="s">
        <v>38</v>
      </c>
      <c r="J58" s="1" t="s">
        <v>95</v>
      </c>
      <c r="K58">
        <f>+L58*B2</f>
        <v>1990879.5985201763</v>
      </c>
      <c r="L58" s="17">
        <f>SQRT(R58)</f>
        <v>316857.5882544207</v>
      </c>
      <c r="M58" s="1" t="s">
        <v>44</v>
      </c>
      <c r="N58" s="1" t="s">
        <v>51</v>
      </c>
      <c r="O58" s="1" t="s">
        <v>96</v>
      </c>
      <c r="P58" s="1" t="s">
        <v>51</v>
      </c>
      <c r="Q58" s="1" t="s">
        <v>76</v>
      </c>
      <c r="R58">
        <f>+G58/B2</f>
        <v>100398731234.40804</v>
      </c>
    </row>
    <row r="59" spans="9:17" ht="18.75">
      <c r="I59" s="17" t="s">
        <v>39</v>
      </c>
      <c r="J59">
        <v>0.14</v>
      </c>
      <c r="K59">
        <f>+J59*A2*B2</f>
        <v>131593467.14976001</v>
      </c>
      <c r="L59" s="17">
        <f>+K59/M59</f>
        <v>69.23686409926155</v>
      </c>
      <c r="M59">
        <f>+N59*C2</f>
        <v>1900627.2000000002</v>
      </c>
      <c r="N59">
        <v>21.998</v>
      </c>
      <c r="O59">
        <f>+N59/D2</f>
        <v>0.06022724161533197</v>
      </c>
      <c r="P59" s="1">
        <f>+F2*0.39</f>
        <v>7.4061E+26</v>
      </c>
      <c r="Q59" s="17">
        <f>+P59/H2</f>
        <v>311180672.26890755</v>
      </c>
    </row>
    <row r="60" spans="9:18" ht="18.75">
      <c r="I60" s="17" t="s">
        <v>40</v>
      </c>
      <c r="J60" s="17">
        <f>+K60/A2/B2</f>
        <v>2.1180621639493977</v>
      </c>
      <c r="K60">
        <f>+K58*1000</f>
        <v>1990879598.5201762</v>
      </c>
      <c r="L60" s="17">
        <f>SQRT(R60)</f>
        <v>17.800494045234274</v>
      </c>
      <c r="M60">
        <f>+K60/L60</f>
        <v>111844064.18501595</v>
      </c>
      <c r="N60">
        <f>+M60/C2</f>
        <v>1294.4914836228697</v>
      </c>
      <c r="O60" s="17">
        <f>+N60/D2</f>
        <v>3.5441245273726754</v>
      </c>
      <c r="P60" s="1" t="s">
        <v>48</v>
      </c>
      <c r="Q60" s="1" t="s">
        <v>69</v>
      </c>
      <c r="R60">
        <f>+G58/K60</f>
        <v>316.8575882544208</v>
      </c>
    </row>
    <row r="61" spans="1:18" ht="18.75">
      <c r="A61" s="9" t="s">
        <v>11</v>
      </c>
      <c r="B61" s="9" t="s">
        <v>12</v>
      </c>
      <c r="C61" s="9" t="s">
        <v>13</v>
      </c>
      <c r="D61" s="9" t="s">
        <v>14</v>
      </c>
      <c r="E61" s="9" t="s">
        <v>15</v>
      </c>
      <c r="F61" s="9" t="s">
        <v>16</v>
      </c>
      <c r="G61" s="9" t="s">
        <v>17</v>
      </c>
      <c r="H61" s="9" t="s">
        <v>18</v>
      </c>
      <c r="I61" s="14" t="s">
        <v>19</v>
      </c>
      <c r="J61" s="14" t="s">
        <v>46</v>
      </c>
      <c r="K61" s="14" t="s">
        <v>20</v>
      </c>
      <c r="L61" s="14" t="s">
        <v>21</v>
      </c>
      <c r="M61" s="14" t="s">
        <v>22</v>
      </c>
      <c r="N61" s="14" t="s">
        <v>23</v>
      </c>
      <c r="O61" s="14" t="s">
        <v>24</v>
      </c>
      <c r="P61" s="14" t="s">
        <v>25</v>
      </c>
      <c r="Q61" s="14" t="s">
        <v>26</v>
      </c>
      <c r="R61" s="13" t="s">
        <v>27</v>
      </c>
    </row>
    <row r="62" spans="1:18" ht="18.75">
      <c r="A62" s="11"/>
      <c r="B62" s="12"/>
      <c r="C62" s="11" t="s">
        <v>28</v>
      </c>
      <c r="D62" s="12" t="s">
        <v>29</v>
      </c>
      <c r="E62" s="12"/>
      <c r="F62" s="11" t="s">
        <v>30</v>
      </c>
      <c r="G62" s="11" t="s">
        <v>31</v>
      </c>
      <c r="H62" s="11" t="s">
        <v>32</v>
      </c>
      <c r="I62" s="14" t="s">
        <v>33</v>
      </c>
      <c r="J62" s="10" t="s">
        <v>35</v>
      </c>
      <c r="K62" s="14" t="s">
        <v>31</v>
      </c>
      <c r="L62" s="14" t="s">
        <v>34</v>
      </c>
      <c r="M62" s="15"/>
      <c r="N62" s="10" t="s">
        <v>35</v>
      </c>
      <c r="O62" s="15"/>
      <c r="P62" s="10" t="s">
        <v>35</v>
      </c>
      <c r="Q62" s="15"/>
      <c r="R62" s="1"/>
    </row>
    <row r="63" spans="1:18" ht="18.75">
      <c r="A63" s="17" t="s">
        <v>97</v>
      </c>
      <c r="B63" s="17" t="s">
        <v>68</v>
      </c>
      <c r="C63" s="17">
        <v>144</v>
      </c>
      <c r="D63" s="17">
        <f>+G63*H2</f>
        <v>1.8102200041581694E+30</v>
      </c>
      <c r="E63" s="17">
        <f>+D63/E2</f>
        <v>0.9101156380885719</v>
      </c>
      <c r="F63" s="17">
        <f>+H2/(G63*L63)</f>
        <v>8.99364611605028</v>
      </c>
      <c r="G63" s="17">
        <f>+K64*L64*L64</f>
        <v>760596640402.5922</v>
      </c>
      <c r="H63" s="17">
        <f>+G63/A2/B2</f>
        <v>809.1855314913108</v>
      </c>
      <c r="I63" s="17" t="s">
        <v>38</v>
      </c>
      <c r="J63" s="1" t="s">
        <v>60</v>
      </c>
      <c r="K63">
        <f>+L63*B2</f>
        <v>2186088.0153775983</v>
      </c>
      <c r="L63" s="17">
        <f>SQRT(R63)</f>
        <v>347925.90007919504</v>
      </c>
      <c r="M63" s="1" t="s">
        <v>43</v>
      </c>
      <c r="N63" s="1" t="s">
        <v>43</v>
      </c>
      <c r="O63" s="1" t="s">
        <v>43</v>
      </c>
      <c r="P63" s="1" t="s">
        <v>76</v>
      </c>
      <c r="Q63" s="1" t="s">
        <v>44</v>
      </c>
      <c r="R63">
        <f>+G63/B2</f>
        <v>121052431945.91803</v>
      </c>
    </row>
    <row r="64" spans="9:17" ht="18.75">
      <c r="I64" s="17" t="s">
        <v>39</v>
      </c>
      <c r="J64">
        <v>0.71</v>
      </c>
      <c r="K64">
        <f>+J64*A2*B2</f>
        <v>667366869.11664</v>
      </c>
      <c r="L64" s="17">
        <f>+K64/M64</f>
        <v>33.75941249011752</v>
      </c>
      <c r="M64">
        <f>+N64*C2</f>
        <v>19768320</v>
      </c>
      <c r="N64">
        <v>228.8</v>
      </c>
      <c r="O64">
        <f>+N64/D2</f>
        <v>0.6264202600958249</v>
      </c>
      <c r="P64">
        <f>+F2/2.23</f>
        <v>8.515695067264574E+26</v>
      </c>
      <c r="Q64" s="17">
        <f>+P64/H2</f>
        <v>357802313.7506124</v>
      </c>
    </row>
    <row r="65" spans="9:18" ht="18.75">
      <c r="I65" s="17" t="s">
        <v>40</v>
      </c>
      <c r="J65" s="17">
        <f>+K65/A2/B2</f>
        <v>2.325741002055678</v>
      </c>
      <c r="K65">
        <f>+K63*1000</f>
        <v>2186088015.3775983</v>
      </c>
      <c r="L65" s="17">
        <f>SQRT(R65)</f>
        <v>18.652771914093496</v>
      </c>
      <c r="M65">
        <f>+K65/L65</f>
        <v>117199096.49063222</v>
      </c>
      <c r="N65">
        <f>+M65/C2</f>
        <v>1356.4710241971322</v>
      </c>
      <c r="O65" s="3">
        <f>+N65/D2</f>
        <v>3.713815261320006</v>
      </c>
      <c r="P65" s="1" t="s">
        <v>98</v>
      </c>
      <c r="Q65" s="1" t="s">
        <v>99</v>
      </c>
      <c r="R65">
        <f>+G63/K65</f>
        <v>347.9259000791951</v>
      </c>
    </row>
    <row r="66" spans="1:18" ht="18.75">
      <c r="A66" s="9" t="s">
        <v>11</v>
      </c>
      <c r="B66" s="9" t="s">
        <v>12</v>
      </c>
      <c r="C66" s="9" t="s">
        <v>13</v>
      </c>
      <c r="D66" s="9" t="s">
        <v>14</v>
      </c>
      <c r="E66" s="9" t="s">
        <v>15</v>
      </c>
      <c r="F66" s="9" t="s">
        <v>16</v>
      </c>
      <c r="G66" s="9" t="s">
        <v>17</v>
      </c>
      <c r="H66" s="9" t="s">
        <v>18</v>
      </c>
      <c r="I66" s="14" t="s">
        <v>19</v>
      </c>
      <c r="J66" s="14" t="s">
        <v>46</v>
      </c>
      <c r="K66" s="14" t="s">
        <v>20</v>
      </c>
      <c r="L66" s="14" t="s">
        <v>21</v>
      </c>
      <c r="M66" s="14" t="s">
        <v>22</v>
      </c>
      <c r="N66" s="14" t="s">
        <v>23</v>
      </c>
      <c r="O66" s="14" t="s">
        <v>24</v>
      </c>
      <c r="P66" s="14" t="s">
        <v>25</v>
      </c>
      <c r="Q66" s="14" t="s">
        <v>26</v>
      </c>
      <c r="R66" s="13" t="s">
        <v>27</v>
      </c>
    </row>
    <row r="67" spans="1:18" ht="18.75">
      <c r="A67" s="11"/>
      <c r="B67" s="12"/>
      <c r="C67" s="11" t="s">
        <v>28</v>
      </c>
      <c r="D67" s="12" t="s">
        <v>29</v>
      </c>
      <c r="E67" s="12"/>
      <c r="F67" s="11" t="s">
        <v>30</v>
      </c>
      <c r="G67" s="11" t="s">
        <v>31</v>
      </c>
      <c r="H67" s="11" t="s">
        <v>32</v>
      </c>
      <c r="I67" s="14" t="s">
        <v>33</v>
      </c>
      <c r="J67" s="10" t="s">
        <v>35</v>
      </c>
      <c r="K67" s="14" t="s">
        <v>31</v>
      </c>
      <c r="L67" s="14" t="s">
        <v>34</v>
      </c>
      <c r="M67" s="15"/>
      <c r="N67" s="10" t="s">
        <v>35</v>
      </c>
      <c r="O67" s="15"/>
      <c r="P67" s="10" t="s">
        <v>35</v>
      </c>
      <c r="Q67" s="15"/>
      <c r="R67" s="1"/>
    </row>
    <row r="68" spans="1:18" ht="18.75">
      <c r="A68" s="17" t="s">
        <v>100</v>
      </c>
      <c r="B68" s="17" t="s">
        <v>101</v>
      </c>
      <c r="C68" s="17">
        <v>56.57</v>
      </c>
      <c r="D68" s="17">
        <f>+G68*H2</f>
        <v>2.2016820496168604E+30</v>
      </c>
      <c r="E68" s="17">
        <f>+D68/E2</f>
        <v>1.1069291350512118</v>
      </c>
      <c r="F68" s="17">
        <f>+H2/(G68*L68)</f>
        <v>6.70503319343648</v>
      </c>
      <c r="G68" s="17">
        <f>+K69*L69*L69</f>
        <v>925076491435.6556</v>
      </c>
      <c r="H68" s="17">
        <f>+G68/A2/B2</f>
        <v>984.1727830881002</v>
      </c>
      <c r="I68" s="17" t="s">
        <v>38</v>
      </c>
      <c r="J68" s="1" t="s">
        <v>102</v>
      </c>
      <c r="K68" s="1">
        <f>+L68*B2</f>
        <v>2410900.373509555</v>
      </c>
      <c r="L68" s="17">
        <f>SQRT(R68)</f>
        <v>383705.8144750374</v>
      </c>
      <c r="M68" s="1" t="s">
        <v>82</v>
      </c>
      <c r="N68" s="1" t="s">
        <v>78</v>
      </c>
      <c r="O68" s="1" t="s">
        <v>82</v>
      </c>
      <c r="P68" s="1" t="s">
        <v>58</v>
      </c>
      <c r="Q68" s="1" t="s">
        <v>51</v>
      </c>
      <c r="R68">
        <f>+G68/B2</f>
        <v>147230152061.9518</v>
      </c>
    </row>
    <row r="69" spans="9:17" ht="18.75">
      <c r="I69" s="17" t="s">
        <v>39</v>
      </c>
      <c r="J69">
        <v>2.03</v>
      </c>
      <c r="K69">
        <f>+J69*A2*B2</f>
        <v>1908105273.6715198</v>
      </c>
      <c r="L69" s="17">
        <f>+K69/M69</f>
        <v>22.018496289736344</v>
      </c>
      <c r="M69">
        <f>+N69*C2</f>
        <v>86659200</v>
      </c>
      <c r="N69">
        <v>1003</v>
      </c>
      <c r="O69">
        <f>+N69/D2</f>
        <v>2.746064339493498</v>
      </c>
      <c r="P69">
        <f>+F2*0.93</f>
        <v>1.7660700000000001E+27</v>
      </c>
      <c r="Q69" s="17">
        <f>+P69/H2</f>
        <v>742046218.487395</v>
      </c>
    </row>
    <row r="70" spans="9:18" ht="18.75">
      <c r="I70" s="17" t="s">
        <v>40</v>
      </c>
      <c r="J70" s="17">
        <f>+K70/A2/B2</f>
        <v>2.5649149581811392</v>
      </c>
      <c r="K70">
        <f>+K68*1000</f>
        <v>2410900373.5095553</v>
      </c>
      <c r="L70" s="17">
        <f>SQRT(R70)</f>
        <v>19.588410207953</v>
      </c>
      <c r="M70">
        <f>+K70/L70</f>
        <v>123077899.01861034</v>
      </c>
      <c r="N70">
        <f>+M70/C2</f>
        <v>1424.512720122805</v>
      </c>
      <c r="O70" s="3">
        <f>+N70/D2</f>
        <v>3.9001032720679123</v>
      </c>
      <c r="P70" s="1" t="s">
        <v>47</v>
      </c>
      <c r="Q70" s="1" t="s">
        <v>44</v>
      </c>
      <c r="R70">
        <f>+G68/K70</f>
        <v>383.7058144750373</v>
      </c>
    </row>
    <row r="71" spans="1:18" ht="18.75">
      <c r="A71" s="9" t="s">
        <v>11</v>
      </c>
      <c r="B71" s="9" t="s">
        <v>12</v>
      </c>
      <c r="C71" s="9" t="s">
        <v>13</v>
      </c>
      <c r="D71" s="9" t="s">
        <v>14</v>
      </c>
      <c r="E71" s="9" t="s">
        <v>15</v>
      </c>
      <c r="F71" s="9" t="s">
        <v>16</v>
      </c>
      <c r="G71" s="9" t="s">
        <v>17</v>
      </c>
      <c r="H71" s="9" t="s">
        <v>18</v>
      </c>
      <c r="I71" s="14" t="s">
        <v>19</v>
      </c>
      <c r="J71" s="14" t="s">
        <v>46</v>
      </c>
      <c r="K71" s="14" t="s">
        <v>20</v>
      </c>
      <c r="L71" s="14" t="s">
        <v>21</v>
      </c>
      <c r="M71" s="14" t="s">
        <v>22</v>
      </c>
      <c r="N71" s="14" t="s">
        <v>23</v>
      </c>
      <c r="O71" s="14" t="s">
        <v>24</v>
      </c>
      <c r="P71" s="14" t="s">
        <v>25</v>
      </c>
      <c r="Q71" s="14" t="s">
        <v>26</v>
      </c>
      <c r="R71" s="13" t="s">
        <v>27</v>
      </c>
    </row>
    <row r="72" spans="1:18" ht="18.75">
      <c r="A72" s="11"/>
      <c r="B72" s="12"/>
      <c r="C72" s="11" t="s">
        <v>28</v>
      </c>
      <c r="D72" s="12" t="s">
        <v>29</v>
      </c>
      <c r="E72" s="12"/>
      <c r="F72" s="11" t="s">
        <v>30</v>
      </c>
      <c r="G72" s="11" t="s">
        <v>31</v>
      </c>
      <c r="H72" s="11" t="s">
        <v>32</v>
      </c>
      <c r="I72" s="14" t="s">
        <v>33</v>
      </c>
      <c r="J72" s="10" t="s">
        <v>35</v>
      </c>
      <c r="K72" s="14" t="s">
        <v>31</v>
      </c>
      <c r="L72" s="14" t="s">
        <v>34</v>
      </c>
      <c r="M72" s="15"/>
      <c r="N72" s="10" t="s">
        <v>35</v>
      </c>
      <c r="O72" s="15"/>
      <c r="P72" s="10" t="s">
        <v>35</v>
      </c>
      <c r="Q72" s="15"/>
      <c r="R72" s="1"/>
    </row>
    <row r="73" spans="1:18" ht="18.75">
      <c r="A73" s="17" t="s">
        <v>103</v>
      </c>
      <c r="B73" s="17" t="s">
        <v>68</v>
      </c>
      <c r="C73" s="17">
        <v>106</v>
      </c>
      <c r="D73" s="17">
        <f>+G73*H2</f>
        <v>2.3029379109106425E+30</v>
      </c>
      <c r="E73" s="17">
        <f>+D73/E2</f>
        <v>1.157837059281369</v>
      </c>
      <c r="F73" s="17">
        <f>+H2/(G73*L73)</f>
        <v>6.267718614229113</v>
      </c>
      <c r="G73" s="17">
        <f>+K74*L74*L74</f>
        <v>967620970970.8582</v>
      </c>
      <c r="H73" s="17">
        <f>+G73/A2/B2</f>
        <v>1029.4351145999667</v>
      </c>
      <c r="I73" s="17" t="s">
        <v>38</v>
      </c>
      <c r="J73" s="1" t="s">
        <v>104</v>
      </c>
      <c r="K73">
        <f>+L73*B2</f>
        <v>2465716.140354379</v>
      </c>
      <c r="L73" s="17">
        <f>SQRT(R73)</f>
        <v>392429.9943268365</v>
      </c>
      <c r="M73" s="1" t="s">
        <v>76</v>
      </c>
      <c r="N73" s="1" t="s">
        <v>44</v>
      </c>
      <c r="O73" s="1" t="s">
        <v>42</v>
      </c>
      <c r="P73" s="1" t="s">
        <v>51</v>
      </c>
      <c r="Q73" s="1" t="s">
        <v>82</v>
      </c>
      <c r="R73">
        <f>+G73/B2</f>
        <v>154001300447.36093</v>
      </c>
    </row>
    <row r="74" spans="9:17" ht="18.75">
      <c r="I74" s="17" t="s">
        <v>39</v>
      </c>
      <c r="J74">
        <v>2.16</v>
      </c>
      <c r="K74">
        <f>+J74*A2*B2</f>
        <v>2030299207.4534402</v>
      </c>
      <c r="L74" s="17">
        <f>+K74/M74</f>
        <v>21.830948921962094</v>
      </c>
      <c r="M74">
        <f>+N74*C2</f>
        <v>93000960.00000001</v>
      </c>
      <c r="N74">
        <v>1076.4</v>
      </c>
      <c r="O74">
        <f>+N74/D2</f>
        <v>2.947022587268994</v>
      </c>
      <c r="P74">
        <f>+F2/6.38</f>
        <v>2.9764890282131662E+26</v>
      </c>
      <c r="Q74" s="17">
        <f>+P74/H2</f>
        <v>125062564.21063724</v>
      </c>
    </row>
    <row r="75" spans="9:18" ht="18.75">
      <c r="I75" s="17" t="s">
        <v>40</v>
      </c>
      <c r="J75" s="17">
        <f>+K75/A2/B2</f>
        <v>2.623232498743709</v>
      </c>
      <c r="K75">
        <f>+K73*1000</f>
        <v>2465716140.354379</v>
      </c>
      <c r="L75" s="17">
        <f>SQRT(R75)</f>
        <v>19.80984589356607</v>
      </c>
      <c r="M75">
        <f>+K75/L75</f>
        <v>124469223.71845433</v>
      </c>
      <c r="N75">
        <f>+M75/C2</f>
        <v>1440.6160152598882</v>
      </c>
      <c r="O75" s="17">
        <f>+N75/D2</f>
        <v>3.944191691334396</v>
      </c>
      <c r="P75" s="1" t="s">
        <v>48</v>
      </c>
      <c r="Q75" s="1" t="s">
        <v>48</v>
      </c>
      <c r="R75">
        <f>+G73/K75</f>
        <v>392.4299943268365</v>
      </c>
    </row>
    <row r="76" spans="1:18" ht="18.75">
      <c r="A76" s="9" t="s">
        <v>11</v>
      </c>
      <c r="B76" s="9" t="s">
        <v>12</v>
      </c>
      <c r="C76" s="9" t="s">
        <v>13</v>
      </c>
      <c r="D76" s="9" t="s">
        <v>14</v>
      </c>
      <c r="E76" s="9" t="s">
        <v>15</v>
      </c>
      <c r="F76" s="9" t="s">
        <v>16</v>
      </c>
      <c r="G76" s="9" t="s">
        <v>17</v>
      </c>
      <c r="H76" s="9" t="s">
        <v>18</v>
      </c>
      <c r="I76" s="14" t="s">
        <v>19</v>
      </c>
      <c r="J76" s="14" t="s">
        <v>46</v>
      </c>
      <c r="K76" s="14" t="s">
        <v>20</v>
      </c>
      <c r="L76" s="14" t="s">
        <v>21</v>
      </c>
      <c r="M76" s="14" t="s">
        <v>22</v>
      </c>
      <c r="N76" s="14" t="s">
        <v>23</v>
      </c>
      <c r="O76" s="14" t="s">
        <v>24</v>
      </c>
      <c r="P76" s="14" t="s">
        <v>25</v>
      </c>
      <c r="Q76" s="14" t="s">
        <v>26</v>
      </c>
      <c r="R76" s="13" t="s">
        <v>27</v>
      </c>
    </row>
    <row r="77" spans="1:18" ht="18.75">
      <c r="A77" s="11"/>
      <c r="B77" s="12"/>
      <c r="C77" s="11" t="s">
        <v>28</v>
      </c>
      <c r="D77" s="12" t="s">
        <v>29</v>
      </c>
      <c r="E77" s="12"/>
      <c r="F77" s="11" t="s">
        <v>30</v>
      </c>
      <c r="G77" s="11" t="s">
        <v>31</v>
      </c>
      <c r="H77" s="11" t="s">
        <v>32</v>
      </c>
      <c r="I77" s="14" t="s">
        <v>33</v>
      </c>
      <c r="J77" s="10" t="s">
        <v>35</v>
      </c>
      <c r="K77" s="14" t="s">
        <v>31</v>
      </c>
      <c r="L77" s="14" t="s">
        <v>34</v>
      </c>
      <c r="M77" s="15"/>
      <c r="N77" s="10" t="s">
        <v>35</v>
      </c>
      <c r="O77" s="15"/>
      <c r="P77" s="10" t="s">
        <v>35</v>
      </c>
      <c r="Q77" s="15"/>
      <c r="R77" s="1"/>
    </row>
    <row r="78" spans="1:18" ht="18.75">
      <c r="A78" s="17" t="s">
        <v>105</v>
      </c>
      <c r="B78" s="17" t="s">
        <v>62</v>
      </c>
      <c r="C78" s="17">
        <v>175.6</v>
      </c>
      <c r="D78" s="17">
        <f>+G78*H2</f>
        <v>2.092751869506119E+30</v>
      </c>
      <c r="E78" s="17">
        <f>+D78/E2</f>
        <v>1.0521628303198185</v>
      </c>
      <c r="F78" s="17">
        <f>+H2/(G78*L78)</f>
        <v>7.2352947289495235</v>
      </c>
      <c r="G78" s="17">
        <f>+K79*L79*L79</f>
        <v>879307508195.8484</v>
      </c>
      <c r="H78" s="17">
        <f>+G78/A2/B2</f>
        <v>935.4799581906394</v>
      </c>
      <c r="I78" s="17" t="s">
        <v>38</v>
      </c>
      <c r="J78" s="1" t="s">
        <v>106</v>
      </c>
      <c r="K78">
        <f>+L78*B2</f>
        <v>2350503.1239069123</v>
      </c>
      <c r="L78" s="17">
        <f>SQRT(R78)</f>
        <v>374093.3161298244</v>
      </c>
      <c r="M78" s="1" t="s">
        <v>78</v>
      </c>
      <c r="N78" s="1" t="s">
        <v>43</v>
      </c>
      <c r="O78" s="1" t="s">
        <v>47</v>
      </c>
      <c r="P78" s="1" t="s">
        <v>47</v>
      </c>
      <c r="Q78" s="1" t="s">
        <v>82</v>
      </c>
      <c r="R78">
        <f>+G78/B2</f>
        <v>139945809173.00873</v>
      </c>
    </row>
    <row r="79" spans="1:17" ht="18.75">
      <c r="A79" s="17" t="s">
        <v>107</v>
      </c>
      <c r="I79" s="17" t="s">
        <v>93</v>
      </c>
      <c r="J79">
        <v>2.5</v>
      </c>
      <c r="K79">
        <f>+J79*A2*B2</f>
        <v>2349883341.96</v>
      </c>
      <c r="L79" s="17">
        <f>+K79/M79</f>
        <v>19.344042578433697</v>
      </c>
      <c r="M79">
        <f>+N79*C2</f>
        <v>121478400</v>
      </c>
      <c r="N79">
        <v>1406</v>
      </c>
      <c r="O79">
        <f>+N79/D2</f>
        <v>3.8494182067077345</v>
      </c>
      <c r="P79">
        <f>+F2/4.74</f>
        <v>4.006329113924051E+26</v>
      </c>
      <c r="Q79" s="17">
        <f>+P79/H2</f>
        <v>168333156.04722902</v>
      </c>
    </row>
    <row r="80" spans="9:18" ht="18.75">
      <c r="I80" s="17" t="s">
        <v>92</v>
      </c>
      <c r="J80" s="17">
        <f>+K80/A2/B2</f>
        <v>2.500659375229235</v>
      </c>
      <c r="K80">
        <f>+K78*1000</f>
        <v>2350503123.9069123</v>
      </c>
      <c r="L80" s="17">
        <f>SQRT(R80)</f>
        <v>19.341492086440084</v>
      </c>
      <c r="M80">
        <f>+K80/L80</f>
        <v>121526463.07752033</v>
      </c>
      <c r="N80">
        <f>+M80/C2</f>
        <v>1406.5562856194483</v>
      </c>
      <c r="O80" s="3">
        <f>+N80/D2</f>
        <v>3.850941233728811</v>
      </c>
      <c r="P80" s="1" t="s">
        <v>71</v>
      </c>
      <c r="Q80" s="1" t="s">
        <v>56</v>
      </c>
      <c r="R80">
        <f>+G78/K80</f>
        <v>374.0933161298244</v>
      </c>
    </row>
    <row r="81" spans="1:18" ht="18.75">
      <c r="A81" s="9" t="s">
        <v>11</v>
      </c>
      <c r="B81" s="9" t="s">
        <v>12</v>
      </c>
      <c r="C81" s="9" t="s">
        <v>13</v>
      </c>
      <c r="D81" s="9" t="s">
        <v>14</v>
      </c>
      <c r="E81" s="9" t="s">
        <v>15</v>
      </c>
      <c r="F81" s="9" t="s">
        <v>16</v>
      </c>
      <c r="G81" s="9" t="s">
        <v>17</v>
      </c>
      <c r="H81" s="9" t="s">
        <v>18</v>
      </c>
      <c r="I81" s="14" t="s">
        <v>19</v>
      </c>
      <c r="J81" s="14" t="s">
        <v>46</v>
      </c>
      <c r="K81" s="14" t="s">
        <v>20</v>
      </c>
      <c r="L81" s="14" t="s">
        <v>21</v>
      </c>
      <c r="M81" s="14" t="s">
        <v>22</v>
      </c>
      <c r="N81" s="14" t="s">
        <v>23</v>
      </c>
      <c r="O81" s="14" t="s">
        <v>24</v>
      </c>
      <c r="P81" s="14" t="s">
        <v>25</v>
      </c>
      <c r="Q81" s="14" t="s">
        <v>26</v>
      </c>
      <c r="R81" s="13" t="s">
        <v>27</v>
      </c>
    </row>
    <row r="82" spans="1:18" ht="18.75">
      <c r="A82" s="11"/>
      <c r="B82" s="12"/>
      <c r="C82" s="11" t="s">
        <v>28</v>
      </c>
      <c r="D82" s="12" t="s">
        <v>29</v>
      </c>
      <c r="E82" s="12"/>
      <c r="F82" s="11" t="s">
        <v>30</v>
      </c>
      <c r="G82" s="11" t="s">
        <v>31</v>
      </c>
      <c r="H82" s="11" t="s">
        <v>32</v>
      </c>
      <c r="I82" s="14" t="s">
        <v>33</v>
      </c>
      <c r="J82" s="10" t="s">
        <v>35</v>
      </c>
      <c r="K82" s="14" t="s">
        <v>31</v>
      </c>
      <c r="L82" s="14" t="s">
        <v>34</v>
      </c>
      <c r="M82" s="15"/>
      <c r="N82" s="10" t="s">
        <v>35</v>
      </c>
      <c r="O82" s="15"/>
      <c r="P82" s="10" t="s">
        <v>35</v>
      </c>
      <c r="Q82" s="15"/>
      <c r="R82" s="1"/>
    </row>
    <row r="83" spans="1:18" ht="18.75">
      <c r="A83" s="17" t="s">
        <v>109</v>
      </c>
      <c r="B83" s="17" t="s">
        <v>53</v>
      </c>
      <c r="C83" s="17">
        <v>216.89</v>
      </c>
      <c r="D83" s="17">
        <f>+G83*H2</f>
        <v>3.765312963170872E+30</v>
      </c>
      <c r="E83" s="17">
        <f>+D83/E2</f>
        <v>1.893068357551972</v>
      </c>
      <c r="F83" s="17">
        <f>+H2/(G83*L83)</f>
        <v>2.9979971480961956</v>
      </c>
      <c r="G83" s="17">
        <f>+K84*L84*L84</f>
        <v>1582064270239.8623</v>
      </c>
      <c r="H83" s="17">
        <f>+G83/A2/B2</f>
        <v>1683.130649498847</v>
      </c>
      <c r="I83" s="17" t="s">
        <v>38</v>
      </c>
      <c r="J83" s="1" t="s">
        <v>110</v>
      </c>
      <c r="K83">
        <f>+L83*B2</f>
        <v>3152844.148189235</v>
      </c>
      <c r="L83" s="17">
        <f>SQRT(R83)</f>
        <v>501789.5575804105</v>
      </c>
      <c r="M83" s="1" t="s">
        <v>76</v>
      </c>
      <c r="N83" s="1" t="s">
        <v>111</v>
      </c>
      <c r="O83" s="1" t="s">
        <v>51</v>
      </c>
      <c r="P83" s="1" t="s">
        <v>51</v>
      </c>
      <c r="Q83" s="1" t="s">
        <v>82</v>
      </c>
      <c r="R83">
        <f>+G83/B2</f>
        <v>251792760096.74408</v>
      </c>
    </row>
    <row r="84" spans="9:17" ht="18.75">
      <c r="I84" s="17" t="s">
        <v>39</v>
      </c>
      <c r="J84">
        <v>1.93</v>
      </c>
      <c r="K84">
        <f>+J84*A2*B2</f>
        <v>1814109939.9931197</v>
      </c>
      <c r="L84" s="17">
        <f>+K84/M84</f>
        <v>29.531143212369116</v>
      </c>
      <c r="M84">
        <f>+N84*C2</f>
        <v>61430400</v>
      </c>
      <c r="N84">
        <v>711</v>
      </c>
      <c r="O84">
        <f>+N84/D2</f>
        <v>1.946611909650924</v>
      </c>
      <c r="P84">
        <f>+F2/6.54</f>
        <v>2.9036697247706423E+26</v>
      </c>
      <c r="Q84" s="17">
        <f>+P84/H2</f>
        <v>122002929.61221187</v>
      </c>
    </row>
    <row r="85" spans="9:18" ht="18.75">
      <c r="I85" s="17" t="s">
        <v>40</v>
      </c>
      <c r="J85" s="17">
        <f>+K85/A2/B2</f>
        <v>3.3542560303860642</v>
      </c>
      <c r="K85">
        <f>+K83*1000</f>
        <v>3152844148.189235</v>
      </c>
      <c r="L85" s="17">
        <f>SQRT(R85)</f>
        <v>22.4006597577038</v>
      </c>
      <c r="M85">
        <f>+K85/L85</f>
        <v>140747825.38960454</v>
      </c>
      <c r="N85">
        <f>+M85/C2</f>
        <v>1629.0257568241266</v>
      </c>
      <c r="O85" s="3">
        <f>+N85/D2</f>
        <v>4.460029450579402</v>
      </c>
      <c r="P85" s="1" t="s">
        <v>98</v>
      </c>
      <c r="Q85" s="1" t="s">
        <v>99</v>
      </c>
      <c r="R85">
        <f>+G83/K85</f>
        <v>501.7895575804104</v>
      </c>
    </row>
    <row r="86" spans="1:18" ht="18.75">
      <c r="A86" s="9" t="s">
        <v>11</v>
      </c>
      <c r="B86" s="9" t="s">
        <v>12</v>
      </c>
      <c r="C86" s="9" t="s">
        <v>13</v>
      </c>
      <c r="D86" s="9" t="s">
        <v>14</v>
      </c>
      <c r="E86" s="9" t="s">
        <v>15</v>
      </c>
      <c r="F86" s="9" t="s">
        <v>16</v>
      </c>
      <c r="G86" s="9" t="s">
        <v>17</v>
      </c>
      <c r="H86" s="9" t="s">
        <v>18</v>
      </c>
      <c r="I86" s="14" t="s">
        <v>19</v>
      </c>
      <c r="J86" s="14" t="s">
        <v>46</v>
      </c>
      <c r="K86" s="14" t="s">
        <v>20</v>
      </c>
      <c r="L86" s="14" t="s">
        <v>21</v>
      </c>
      <c r="M86" s="14" t="s">
        <v>22</v>
      </c>
      <c r="N86" s="14" t="s">
        <v>23</v>
      </c>
      <c r="O86" s="14" t="s">
        <v>24</v>
      </c>
      <c r="P86" s="14" t="s">
        <v>25</v>
      </c>
      <c r="Q86" s="14" t="s">
        <v>26</v>
      </c>
      <c r="R86" s="13" t="s">
        <v>27</v>
      </c>
    </row>
    <row r="87" spans="1:18" ht="18.75">
      <c r="A87" s="11"/>
      <c r="B87" s="12"/>
      <c r="C87" s="11" t="s">
        <v>28</v>
      </c>
      <c r="D87" s="12" t="s">
        <v>29</v>
      </c>
      <c r="E87" s="12"/>
      <c r="F87" s="11" t="s">
        <v>30</v>
      </c>
      <c r="G87" s="11" t="s">
        <v>31</v>
      </c>
      <c r="H87" s="11" t="s">
        <v>32</v>
      </c>
      <c r="I87" s="14" t="s">
        <v>33</v>
      </c>
      <c r="J87" s="10" t="s">
        <v>35</v>
      </c>
      <c r="K87" s="14" t="s">
        <v>31</v>
      </c>
      <c r="L87" s="14" t="s">
        <v>34</v>
      </c>
      <c r="M87" s="15"/>
      <c r="N87" s="10" t="s">
        <v>35</v>
      </c>
      <c r="O87" s="15"/>
      <c r="P87" s="10" t="s">
        <v>35</v>
      </c>
      <c r="Q87" s="15"/>
      <c r="R87" s="1"/>
    </row>
    <row r="88" spans="1:18" ht="18.75">
      <c r="A88" s="17" t="s">
        <v>112</v>
      </c>
      <c r="B88" s="17" t="s">
        <v>62</v>
      </c>
      <c r="C88" s="17">
        <v>110.8</v>
      </c>
      <c r="D88" s="17">
        <f>+G88*H2</f>
        <v>2.947336844783229E+30</v>
      </c>
      <c r="E88" s="17">
        <f>+D88/E2</f>
        <v>1.481818423722086</v>
      </c>
      <c r="F88" s="17">
        <f>+H2/(G88*L88)</f>
        <v>4.329005869989957</v>
      </c>
      <c r="G88" s="17">
        <f>+K89*L89*L89</f>
        <v>1238376825539.1719</v>
      </c>
      <c r="H88" s="17">
        <f>+G88/A2/B2</f>
        <v>1317.487557176202</v>
      </c>
      <c r="I88" s="17" t="s">
        <v>38</v>
      </c>
      <c r="J88" s="1" t="s">
        <v>115</v>
      </c>
      <c r="K88">
        <f>+L88*B2</f>
        <v>2789438.8808912314</v>
      </c>
      <c r="L88" s="17">
        <f>SQRT(R88)</f>
        <v>443951.9481937916</v>
      </c>
      <c r="M88" s="1" t="s">
        <v>78</v>
      </c>
      <c r="N88" s="1" t="s">
        <v>44</v>
      </c>
      <c r="O88" s="1" t="s">
        <v>47</v>
      </c>
      <c r="P88" s="1" t="s">
        <v>58</v>
      </c>
      <c r="Q88" s="1" t="s">
        <v>116</v>
      </c>
      <c r="R88">
        <f>+G88/B2</f>
        <v>197093332305.06302</v>
      </c>
    </row>
    <row r="89" spans="7:17" ht="18.75">
      <c r="G89">
        <f>+K89*L89*L89</f>
        <v>1238376825539.1719</v>
      </c>
      <c r="I89" s="17" t="s">
        <v>39</v>
      </c>
      <c r="J89">
        <v>0.239</v>
      </c>
      <c r="K89">
        <f>+J89*A2*B2</f>
        <v>224648847.49137598</v>
      </c>
      <c r="L89" s="17">
        <f>+K89/M89</f>
        <v>74.24621363565262</v>
      </c>
      <c r="M89">
        <f>+N89*C2</f>
        <v>3025728.0000000005</v>
      </c>
      <c r="N89">
        <v>35.02</v>
      </c>
      <c r="O89">
        <f>+N89/D2</f>
        <v>0.0958795345653662</v>
      </c>
      <c r="P89">
        <f>+F2*0.09</f>
        <v>1.7091E+26</v>
      </c>
      <c r="Q89" s="17">
        <f>+P89/H2</f>
        <v>71810924.36974789</v>
      </c>
    </row>
    <row r="90" spans="7:17" ht="18.75">
      <c r="G90">
        <f>+K90*L90*L90</f>
        <v>1238573334552.7593</v>
      </c>
      <c r="I90" s="17" t="s">
        <v>113</v>
      </c>
      <c r="J90">
        <v>1.13</v>
      </c>
      <c r="K90">
        <f>+J90*A2*B2</f>
        <v>1062147270.56592</v>
      </c>
      <c r="L90" s="17">
        <f>+K90/M90</f>
        <v>34.14825329751543</v>
      </c>
      <c r="M90">
        <f>+N90*C2</f>
        <v>31104000</v>
      </c>
      <c r="N90">
        <v>360</v>
      </c>
      <c r="O90">
        <f>+N90/D2</f>
        <v>0.9856262833675564</v>
      </c>
      <c r="P90">
        <f>+F2*0.21</f>
        <v>3.9879E+26</v>
      </c>
      <c r="Q90" s="17">
        <f>+P90/H2</f>
        <v>167558823.52941176</v>
      </c>
    </row>
    <row r="91" spans="7:17" ht="18.75">
      <c r="G91">
        <f>+K91*L91*L91</f>
        <v>1238363837002.7224</v>
      </c>
      <c r="I91" s="17" t="s">
        <v>114</v>
      </c>
      <c r="J91">
        <v>3.454</v>
      </c>
      <c r="K91">
        <f>+J91*A2*B2</f>
        <v>3246598825.251936</v>
      </c>
      <c r="L91" s="17">
        <f>+K91/M91</f>
        <v>19.530340588496767</v>
      </c>
      <c r="M91">
        <f>+N91*C2</f>
        <v>166233600</v>
      </c>
      <c r="N91">
        <v>1924</v>
      </c>
      <c r="O91">
        <f>+N91/D2</f>
        <v>5.2676249144421625</v>
      </c>
      <c r="P91">
        <f>+F2*0.77</f>
        <v>1.4622300000000002E+27</v>
      </c>
      <c r="Q91" s="17">
        <f>+P91/H2</f>
        <v>614382352.9411765</v>
      </c>
    </row>
    <row r="92" spans="9:18" ht="18.75">
      <c r="I92" s="17" t="s">
        <v>40</v>
      </c>
      <c r="J92" s="17">
        <f>+K92/A2/B2</f>
        <v>2.9676354896884005</v>
      </c>
      <c r="K92">
        <f>+K88*1000</f>
        <v>2789438880.8912315</v>
      </c>
      <c r="L92" s="17">
        <f>SQRT(R92)</f>
        <v>21.070167255951993</v>
      </c>
      <c r="M92">
        <f>+K92/L92</f>
        <v>132388074.90259759</v>
      </c>
      <c r="N92">
        <f>+M92/C2</f>
        <v>1532.2693854467313</v>
      </c>
      <c r="O92" s="3">
        <f>+N92/D2</f>
        <v>4.195124943043755</v>
      </c>
      <c r="P92" s="1" t="s">
        <v>69</v>
      </c>
      <c r="Q92" s="1" t="s">
        <v>48</v>
      </c>
      <c r="R92">
        <f>+G88/K92</f>
        <v>443.95194819379157</v>
      </c>
    </row>
    <row r="93" spans="1:18" ht="18.75">
      <c r="A93" s="9" t="s">
        <v>11</v>
      </c>
      <c r="B93" s="9" t="s">
        <v>12</v>
      </c>
      <c r="C93" s="9" t="s">
        <v>13</v>
      </c>
      <c r="D93" s="9" t="s">
        <v>14</v>
      </c>
      <c r="E93" s="9" t="s">
        <v>15</v>
      </c>
      <c r="F93" s="9" t="s">
        <v>16</v>
      </c>
      <c r="G93" s="9" t="s">
        <v>17</v>
      </c>
      <c r="H93" s="9" t="s">
        <v>18</v>
      </c>
      <c r="I93" s="14" t="s">
        <v>19</v>
      </c>
      <c r="J93" s="14" t="s">
        <v>46</v>
      </c>
      <c r="K93" s="14" t="s">
        <v>20</v>
      </c>
      <c r="L93" s="14" t="s">
        <v>21</v>
      </c>
      <c r="M93" s="14" t="s">
        <v>22</v>
      </c>
      <c r="N93" s="14" t="s">
        <v>23</v>
      </c>
      <c r="O93" s="14" t="s">
        <v>24</v>
      </c>
      <c r="P93" s="14" t="s">
        <v>25</v>
      </c>
      <c r="Q93" s="14" t="s">
        <v>26</v>
      </c>
      <c r="R93" s="13" t="s">
        <v>27</v>
      </c>
    </row>
    <row r="94" spans="1:18" ht="18.75">
      <c r="A94" s="11"/>
      <c r="B94" s="12"/>
      <c r="C94" s="11" t="s">
        <v>28</v>
      </c>
      <c r="D94" s="12" t="s">
        <v>29</v>
      </c>
      <c r="E94" s="12"/>
      <c r="F94" s="11" t="s">
        <v>30</v>
      </c>
      <c r="G94" s="11" t="s">
        <v>31</v>
      </c>
      <c r="H94" s="11" t="s">
        <v>32</v>
      </c>
      <c r="I94" s="14" t="s">
        <v>33</v>
      </c>
      <c r="J94" s="10" t="s">
        <v>35</v>
      </c>
      <c r="K94" s="14" t="s">
        <v>31</v>
      </c>
      <c r="L94" s="14" t="s">
        <v>34</v>
      </c>
      <c r="M94" s="15"/>
      <c r="N94" s="10" t="s">
        <v>35</v>
      </c>
      <c r="O94" s="15"/>
      <c r="P94" s="10" t="s">
        <v>35</v>
      </c>
      <c r="Q94" s="15"/>
      <c r="R94" s="1"/>
    </row>
    <row r="95" spans="1:18" ht="18.75">
      <c r="A95" s="17" t="s">
        <v>117</v>
      </c>
      <c r="B95" s="17" t="s">
        <v>101</v>
      </c>
      <c r="C95" s="17">
        <v>35.9</v>
      </c>
      <c r="D95" s="17">
        <f>+G95*H2</f>
        <v>1.5371657273083233E+30</v>
      </c>
      <c r="E95" s="17">
        <f>+D95/E2</f>
        <v>0.77283344761605</v>
      </c>
      <c r="F95" s="17">
        <f>+H2/(G95*L95)</f>
        <v>11.493486639444004</v>
      </c>
      <c r="G95" s="17">
        <f>+K96*L96*L96</f>
        <v>645867952650.556</v>
      </c>
      <c r="H95" s="17">
        <f>+G95/A2/B2</f>
        <v>687.1276768486813</v>
      </c>
      <c r="I95" s="17" t="s">
        <v>38</v>
      </c>
      <c r="J95" s="1" t="s">
        <v>120</v>
      </c>
      <c r="K95">
        <f>+L95*B2</f>
        <v>2014476.9842552121</v>
      </c>
      <c r="L95" s="17">
        <f>SQRT(R95)</f>
        <v>320613.220055897</v>
      </c>
      <c r="M95" s="1" t="s">
        <v>76</v>
      </c>
      <c r="N95" s="1" t="s">
        <v>58</v>
      </c>
      <c r="O95" s="1" t="s">
        <v>51</v>
      </c>
      <c r="P95" s="1" t="s">
        <v>76</v>
      </c>
      <c r="Q95" s="1" t="s">
        <v>121</v>
      </c>
      <c r="R95">
        <f>+G95/B2</f>
        <v>102792836874.61104</v>
      </c>
    </row>
    <row r="96" spans="9:17" ht="18.75">
      <c r="I96" s="17" t="s">
        <v>118</v>
      </c>
      <c r="J96">
        <v>0.113</v>
      </c>
      <c r="K96">
        <f>+J96*A2*B2</f>
        <v>106214727.05659199</v>
      </c>
      <c r="L96" s="17">
        <f>+K96/M96</f>
        <v>77.97932996195699</v>
      </c>
      <c r="M96">
        <f>+N96*C2</f>
        <v>1362088.224</v>
      </c>
      <c r="N96">
        <v>15.76491</v>
      </c>
      <c r="O96">
        <f>+N96/D2</f>
        <v>0.04316197125256674</v>
      </c>
      <c r="P96">
        <f>+F2/3.91</f>
        <v>4.856777493606138E+26</v>
      </c>
      <c r="Q96" s="17">
        <f>+P96/H2</f>
        <v>204066281.24395537</v>
      </c>
    </row>
    <row r="97" spans="9:18" ht="18.75">
      <c r="I97" s="17" t="s">
        <v>119</v>
      </c>
      <c r="J97">
        <v>18.42</v>
      </c>
      <c r="K97">
        <f>+J97*A2*B2</f>
        <v>17313940463.56128</v>
      </c>
      <c r="L97" s="17">
        <f>SQRT(R97)</f>
        <v>6.107646712369715</v>
      </c>
      <c r="M97">
        <f>+K97/L97</f>
        <v>2834797308.838385</v>
      </c>
      <c r="N97">
        <f>+M97/C2</f>
        <v>32810.15403748131</v>
      </c>
      <c r="O97" s="17">
        <f>+N97/D2</f>
        <v>89.8293060574437</v>
      </c>
      <c r="P97">
        <f>0.5*E2</f>
        <v>9.945E+29</v>
      </c>
      <c r="Q97" s="17">
        <f>+P97/H2</f>
        <v>417857142857.1428</v>
      </c>
      <c r="R97">
        <f>+G95/K97</f>
        <v>37.30334836312059</v>
      </c>
    </row>
    <row r="98" spans="9:18" ht="18.75">
      <c r="I98" s="17" t="s">
        <v>40</v>
      </c>
      <c r="J98" s="17">
        <f>+K98/A2/B2</f>
        <v>2.143167012042999</v>
      </c>
      <c r="K98">
        <f>+K95*1000</f>
        <v>2014476984.255212</v>
      </c>
      <c r="L98" s="17">
        <f>SQRT(R98)</f>
        <v>17.905675638073447</v>
      </c>
      <c r="M98">
        <f>+K98/L98</f>
        <v>112504941.16914311</v>
      </c>
      <c r="N98">
        <f>+M98/C2</f>
        <v>1302.1405227910082</v>
      </c>
      <c r="O98" s="3">
        <f>+N98/D2</f>
        <v>3.5650664552799674</v>
      </c>
      <c r="P98" s="1" t="s">
        <v>60</v>
      </c>
      <c r="Q98" s="1" t="s">
        <v>78</v>
      </c>
      <c r="R98">
        <f>+G95/K98</f>
        <v>320.613220055897</v>
      </c>
    </row>
    <row r="99" spans="1:18" ht="18.75">
      <c r="A99" s="9" t="s">
        <v>11</v>
      </c>
      <c r="B99" s="9" t="s">
        <v>12</v>
      </c>
      <c r="C99" s="9" t="s">
        <v>13</v>
      </c>
      <c r="D99" s="9" t="s">
        <v>14</v>
      </c>
      <c r="E99" s="9" t="s">
        <v>15</v>
      </c>
      <c r="F99" s="9" t="s">
        <v>16</v>
      </c>
      <c r="G99" s="9" t="s">
        <v>17</v>
      </c>
      <c r="H99" s="9" t="s">
        <v>18</v>
      </c>
      <c r="I99" s="14" t="s">
        <v>19</v>
      </c>
      <c r="J99" s="14" t="s">
        <v>46</v>
      </c>
      <c r="K99" s="14" t="s">
        <v>20</v>
      </c>
      <c r="L99" s="14" t="s">
        <v>21</v>
      </c>
      <c r="M99" s="14" t="s">
        <v>22</v>
      </c>
      <c r="N99" s="14" t="s">
        <v>23</v>
      </c>
      <c r="O99" s="14" t="s">
        <v>24</v>
      </c>
      <c r="P99" s="14" t="s">
        <v>25</v>
      </c>
      <c r="Q99" s="14" t="s">
        <v>26</v>
      </c>
      <c r="R99" s="13" t="s">
        <v>27</v>
      </c>
    </row>
    <row r="100" spans="1:18" ht="18.75">
      <c r="A100" s="11"/>
      <c r="B100" s="12"/>
      <c r="C100" s="11" t="s">
        <v>28</v>
      </c>
      <c r="D100" s="12" t="s">
        <v>29</v>
      </c>
      <c r="E100" s="12"/>
      <c r="F100" s="11" t="s">
        <v>30</v>
      </c>
      <c r="G100" s="11" t="s">
        <v>31</v>
      </c>
      <c r="H100" s="11" t="s">
        <v>32</v>
      </c>
      <c r="I100" s="14" t="s">
        <v>33</v>
      </c>
      <c r="J100" s="10" t="s">
        <v>35</v>
      </c>
      <c r="K100" s="14" t="s">
        <v>31</v>
      </c>
      <c r="L100" s="14" t="s">
        <v>34</v>
      </c>
      <c r="M100" s="15"/>
      <c r="N100" s="10" t="s">
        <v>35</v>
      </c>
      <c r="O100" s="15"/>
      <c r="P100" s="10" t="s">
        <v>35</v>
      </c>
      <c r="Q100" s="15"/>
      <c r="R100" s="1"/>
    </row>
    <row r="101" spans="1:18" ht="18.75">
      <c r="A101" s="17" t="s">
        <v>122</v>
      </c>
      <c r="B101" s="17" t="s">
        <v>123</v>
      </c>
      <c r="C101" s="17">
        <v>121.2</v>
      </c>
      <c r="D101" s="17">
        <f>+G101*H2</f>
        <v>2.228479425012223E+30</v>
      </c>
      <c r="E101" s="17">
        <f>+D101/E2</f>
        <v>1.1204019230830684</v>
      </c>
      <c r="F101" s="17">
        <f>+H2/(G101*L101)</f>
        <v>6.584455873539629</v>
      </c>
      <c r="G101" s="17">
        <f>+K102*L102*L102</f>
        <v>936335892862.2786</v>
      </c>
      <c r="H101" s="17">
        <f>+G101/A2/B2</f>
        <v>996.1514643544983</v>
      </c>
      <c r="I101" s="17" t="s">
        <v>38</v>
      </c>
      <c r="J101" s="1" t="s">
        <v>87</v>
      </c>
      <c r="K101">
        <f>+L101*B2</f>
        <v>2425527.9182133256</v>
      </c>
      <c r="L101" s="17">
        <f>SQRT(R101)</f>
        <v>386033.85507596855</v>
      </c>
      <c r="M101" s="1" t="s">
        <v>78</v>
      </c>
      <c r="N101" s="1" t="s">
        <v>51</v>
      </c>
      <c r="O101" s="1" t="s">
        <v>58</v>
      </c>
      <c r="P101" s="1" t="s">
        <v>116</v>
      </c>
      <c r="Q101" s="1" t="s">
        <v>82</v>
      </c>
      <c r="R101">
        <f>+G101/B2</f>
        <v>149022137264.81387</v>
      </c>
    </row>
    <row r="102" spans="7:17" ht="18.75">
      <c r="G102">
        <f>+K102*L102*L102</f>
        <v>936335892862.2786</v>
      </c>
      <c r="I102" s="17" t="s">
        <v>39</v>
      </c>
      <c r="J102">
        <v>0.834</v>
      </c>
      <c r="K102">
        <f>+J102*A2*B2</f>
        <v>783921082.877856</v>
      </c>
      <c r="L102" s="17">
        <f>+K102/M102</f>
        <v>34.56047187543012</v>
      </c>
      <c r="M102">
        <f>+N102*C2</f>
        <v>22682591.999999996</v>
      </c>
      <c r="N102">
        <v>262.53</v>
      </c>
      <c r="O102">
        <f>+N102*D2</f>
        <v>95889.08249999999</v>
      </c>
      <c r="P102">
        <f>+F2/2.34</f>
        <v>8.115384615384616E+26</v>
      </c>
      <c r="Q102" s="17">
        <f>+P102/H2</f>
        <v>340982546.8648998</v>
      </c>
    </row>
    <row r="103" spans="7:17" ht="18.75">
      <c r="G103">
        <f>+K103*L103*L103</f>
        <v>936318509988.7633</v>
      </c>
      <c r="I103" s="17" t="s">
        <v>114</v>
      </c>
      <c r="J103">
        <v>2.8735</v>
      </c>
      <c r="K103">
        <f>+J103*A2*B2</f>
        <v>2700955913.248824</v>
      </c>
      <c r="L103" s="17">
        <f>+K103/M103</f>
        <v>18.618858731834592</v>
      </c>
      <c r="M103">
        <f>+N103*C2</f>
        <v>145065600</v>
      </c>
      <c r="N103">
        <v>1679</v>
      </c>
      <c r="O103">
        <f>+N103*D2</f>
        <v>613254.75</v>
      </c>
      <c r="P103">
        <f>+F2/1.83</f>
        <v>1.0377049180327868E+27</v>
      </c>
      <c r="Q103" s="17">
        <f>+P103/H2</f>
        <v>436010469.7616751</v>
      </c>
    </row>
    <row r="104" spans="9:18" ht="18.75">
      <c r="I104" s="17" t="s">
        <v>40</v>
      </c>
      <c r="J104" s="17">
        <f>+K104/A2/B2</f>
        <v>2.580476948475059</v>
      </c>
      <c r="K104">
        <f>+K101*1000</f>
        <v>2425527918.2133255</v>
      </c>
      <c r="L104" s="17">
        <f>SQRT(R104)</f>
        <v>19.647744274495444</v>
      </c>
      <c r="M104">
        <f>+K104/L104</f>
        <v>123450706.82550979</v>
      </c>
      <c r="N104">
        <f>+M104/C2</f>
        <v>1428.8276252952521</v>
      </c>
      <c r="O104" s="3">
        <f>+N104/D2</f>
        <v>3.911916838590697</v>
      </c>
      <c r="P104" s="1" t="s">
        <v>48</v>
      </c>
      <c r="Q104" s="1" t="s">
        <v>69</v>
      </c>
      <c r="R104">
        <f>+G101/K104</f>
        <v>386.0338550759685</v>
      </c>
    </row>
    <row r="105" spans="1:18" ht="18.75">
      <c r="A105" s="9" t="s">
        <v>11</v>
      </c>
      <c r="B105" s="9" t="s">
        <v>12</v>
      </c>
      <c r="C105" s="9" t="s">
        <v>13</v>
      </c>
      <c r="D105" s="9" t="s">
        <v>14</v>
      </c>
      <c r="E105" s="9" t="s">
        <v>15</v>
      </c>
      <c r="F105" s="9" t="s">
        <v>16</v>
      </c>
      <c r="G105" s="9" t="s">
        <v>17</v>
      </c>
      <c r="H105" s="9" t="s">
        <v>18</v>
      </c>
      <c r="I105" s="14" t="s">
        <v>19</v>
      </c>
      <c r="J105" s="14" t="s">
        <v>46</v>
      </c>
      <c r="K105" s="14" t="s">
        <v>20</v>
      </c>
      <c r="L105" s="14" t="s">
        <v>21</v>
      </c>
      <c r="M105" s="14" t="s">
        <v>22</v>
      </c>
      <c r="N105" s="14" t="s">
        <v>23</v>
      </c>
      <c r="O105" s="14" t="s">
        <v>24</v>
      </c>
      <c r="P105" s="14" t="s">
        <v>25</v>
      </c>
      <c r="Q105" s="14" t="s">
        <v>26</v>
      </c>
      <c r="R105" s="13" t="s">
        <v>27</v>
      </c>
    </row>
    <row r="106" spans="1:18" ht="18.75">
      <c r="A106" s="11"/>
      <c r="B106" s="12"/>
      <c r="C106" s="11" t="s">
        <v>28</v>
      </c>
      <c r="D106" s="12" t="s">
        <v>29</v>
      </c>
      <c r="E106" s="12"/>
      <c r="F106" s="11" t="s">
        <v>30</v>
      </c>
      <c r="G106" s="11" t="s">
        <v>31</v>
      </c>
      <c r="H106" s="11" t="s">
        <v>32</v>
      </c>
      <c r="I106" s="14" t="s">
        <v>33</v>
      </c>
      <c r="J106" s="10" t="s">
        <v>35</v>
      </c>
      <c r="K106" s="14" t="s">
        <v>31</v>
      </c>
      <c r="L106" s="14" t="s">
        <v>34</v>
      </c>
      <c r="M106" s="15"/>
      <c r="N106" s="10" t="s">
        <v>35</v>
      </c>
      <c r="O106" s="15"/>
      <c r="P106" s="10" t="s">
        <v>35</v>
      </c>
      <c r="Q106" s="15"/>
      <c r="R106" s="1"/>
    </row>
    <row r="107" spans="1:18" ht="18.75">
      <c r="A107" s="17" t="s">
        <v>124</v>
      </c>
      <c r="B107" s="17" t="s">
        <v>62</v>
      </c>
      <c r="C107" s="17">
        <v>117.1</v>
      </c>
      <c r="D107" s="17">
        <f>+G107*H2</f>
        <v>2.2203925567137273E+30</v>
      </c>
      <c r="E107" s="17">
        <f>+D107/E2</f>
        <v>1.11633612705567</v>
      </c>
      <c r="F107" s="17">
        <f>+H2/(G107*L107)</f>
        <v>6.620460372656955</v>
      </c>
      <c r="G107" s="17">
        <f>+K108*L108*L108</f>
        <v>932938049039.3812</v>
      </c>
      <c r="H107" s="17">
        <f>+G107/A2/B2</f>
        <v>992.5365574331369</v>
      </c>
      <c r="I107" s="17" t="s">
        <v>38</v>
      </c>
      <c r="J107" s="1" t="s">
        <v>87</v>
      </c>
      <c r="K107">
        <f>+L107*B2</f>
        <v>2421122.952211275</v>
      </c>
      <c r="L107" s="17">
        <f>SQRT(R107)</f>
        <v>385332.7846019982</v>
      </c>
      <c r="M107" s="1" t="s">
        <v>48</v>
      </c>
      <c r="N107" s="1" t="s">
        <v>78</v>
      </c>
      <c r="O107" s="1" t="s">
        <v>58</v>
      </c>
      <c r="P107" s="1" t="s">
        <v>85</v>
      </c>
      <c r="Q107" s="1" t="s">
        <v>125</v>
      </c>
      <c r="R107">
        <f>+G107/B2</f>
        <v>148481354889.12994</v>
      </c>
    </row>
    <row r="108" spans="9:17" ht="18.75">
      <c r="I108" s="17" t="s">
        <v>39</v>
      </c>
      <c r="J108">
        <v>0.363</v>
      </c>
      <c r="K108">
        <f>+J108*A2*B2</f>
        <v>341203061.25259197</v>
      </c>
      <c r="L108" s="17">
        <f>+K108/M108</f>
        <v>52.29015671038403</v>
      </c>
      <c r="M108">
        <f>+N108*C2</f>
        <v>6525187.199999999</v>
      </c>
      <c r="N108">
        <v>75.523</v>
      </c>
      <c r="O108">
        <f>+N108/D2</f>
        <v>0.20677070499657768</v>
      </c>
      <c r="P108">
        <f>+F2*0.26</f>
        <v>4.9374000000000004E+26</v>
      </c>
      <c r="Q108" s="17">
        <f>+P108/H2</f>
        <v>207453781.51260507</v>
      </c>
    </row>
    <row r="109" spans="9:18" ht="18.75">
      <c r="I109" s="17" t="s">
        <v>40</v>
      </c>
      <c r="J109" s="17">
        <f>+K109/A2/B2</f>
        <v>2.5757905817910256</v>
      </c>
      <c r="K109">
        <f>+K107*1000</f>
        <v>2421122952.211275</v>
      </c>
      <c r="L109" s="17">
        <f>SQRT(R109)</f>
        <v>19.629895175522414</v>
      </c>
      <c r="M109">
        <f>+K109/L109</f>
        <v>123338557.36684245</v>
      </c>
      <c r="N109">
        <f>+M109/C2</f>
        <v>1427.5295991532691</v>
      </c>
      <c r="O109" s="3">
        <f>+N109/D2</f>
        <v>3.908363036696151</v>
      </c>
      <c r="P109" s="1" t="s">
        <v>116</v>
      </c>
      <c r="Q109" s="1" t="s">
        <v>125</v>
      </c>
      <c r="R109">
        <f>+G107/K109</f>
        <v>385.3327846019982</v>
      </c>
    </row>
    <row r="110" spans="1:18" ht="18.75">
      <c r="A110" s="9" t="s">
        <v>11</v>
      </c>
      <c r="B110" s="9" t="s">
        <v>12</v>
      </c>
      <c r="C110" s="9" t="s">
        <v>13</v>
      </c>
      <c r="D110" s="9" t="s">
        <v>14</v>
      </c>
      <c r="E110" s="9" t="s">
        <v>15</v>
      </c>
      <c r="F110" s="9" t="s">
        <v>16</v>
      </c>
      <c r="G110" s="9" t="s">
        <v>17</v>
      </c>
      <c r="H110" s="9" t="s">
        <v>18</v>
      </c>
      <c r="I110" s="14" t="s">
        <v>19</v>
      </c>
      <c r="J110" s="14" t="s">
        <v>46</v>
      </c>
      <c r="K110" s="14" t="s">
        <v>20</v>
      </c>
      <c r="L110" s="14" t="s">
        <v>21</v>
      </c>
      <c r="M110" s="14" t="s">
        <v>22</v>
      </c>
      <c r="N110" s="14" t="s">
        <v>23</v>
      </c>
      <c r="O110" s="14" t="s">
        <v>24</v>
      </c>
      <c r="P110" s="14" t="s">
        <v>25</v>
      </c>
      <c r="Q110" s="14" t="s">
        <v>26</v>
      </c>
      <c r="R110" s="13" t="s">
        <v>27</v>
      </c>
    </row>
    <row r="111" spans="1:18" ht="18.75">
      <c r="A111" s="11"/>
      <c r="B111" s="12"/>
      <c r="C111" s="11" t="s">
        <v>28</v>
      </c>
      <c r="D111" s="12" t="s">
        <v>29</v>
      </c>
      <c r="E111" s="12"/>
      <c r="F111" s="11" t="s">
        <v>30</v>
      </c>
      <c r="G111" s="11" t="s">
        <v>31</v>
      </c>
      <c r="H111" s="11" t="s">
        <v>32</v>
      </c>
      <c r="I111" s="14" t="s">
        <v>33</v>
      </c>
      <c r="J111" s="10" t="s">
        <v>35</v>
      </c>
      <c r="K111" s="14" t="s">
        <v>31</v>
      </c>
      <c r="L111" s="14" t="s">
        <v>34</v>
      </c>
      <c r="M111" s="15"/>
      <c r="N111" s="10" t="s">
        <v>35</v>
      </c>
      <c r="O111" s="15"/>
      <c r="P111" s="10" t="s">
        <v>35</v>
      </c>
      <c r="Q111" s="15"/>
      <c r="R111" s="1"/>
    </row>
    <row r="112" spans="1:18" ht="18.75">
      <c r="A112" s="17" t="s">
        <v>126</v>
      </c>
      <c r="B112" s="17" t="s">
        <v>127</v>
      </c>
      <c r="C112" s="17">
        <v>195</v>
      </c>
      <c r="D112" s="17">
        <f>+G112*H2</f>
        <v>3.2050282431523923E+30</v>
      </c>
      <c r="E112" s="17">
        <f>+D112/E2</f>
        <v>1.6113766933898404</v>
      </c>
      <c r="F112" s="17">
        <f>+H2/(G112*L112)</f>
        <v>3.8175527188702887</v>
      </c>
      <c r="G112" s="17">
        <f>+K113*L113*L113</f>
        <v>1346650522332.938</v>
      </c>
      <c r="H112" s="17">
        <f>+G112/A2/B2</f>
        <v>1432.67805925391</v>
      </c>
      <c r="I112" s="17" t="s">
        <v>38</v>
      </c>
      <c r="J112" s="1" t="s">
        <v>128</v>
      </c>
      <c r="K112">
        <f>+L112*B2</f>
        <v>2908827.0079058185</v>
      </c>
      <c r="L112" s="17">
        <f>SQRT(R112)</f>
        <v>462953.1143216543</v>
      </c>
      <c r="M112" s="1" t="s">
        <v>60</v>
      </c>
      <c r="N112" s="1" t="s">
        <v>60</v>
      </c>
      <c r="O112" s="1" t="s">
        <v>58</v>
      </c>
      <c r="P112" s="1" t="s">
        <v>121</v>
      </c>
      <c r="Q112" s="1" t="s">
        <v>129</v>
      </c>
      <c r="R112">
        <f>+G112/B2</f>
        <v>214325586060.11874</v>
      </c>
    </row>
    <row r="113" spans="9:17" ht="18.75">
      <c r="I113" s="17" t="s">
        <v>39</v>
      </c>
      <c r="J113">
        <v>2.07</v>
      </c>
      <c r="K113">
        <f>+J113*A2*B2</f>
        <v>1945703407.1428797</v>
      </c>
      <c r="L113" s="17">
        <f>+K113/M113</f>
        <v>26.30807869211448</v>
      </c>
      <c r="M113">
        <f>+N113*C2</f>
        <v>73958400</v>
      </c>
      <c r="N113">
        <v>856</v>
      </c>
      <c r="O113">
        <f>+N113/D2</f>
        <v>2.3436002737850785</v>
      </c>
      <c r="P113">
        <f>+F2/4.5</f>
        <v>4.2200000000000004E+26</v>
      </c>
      <c r="Q113" s="17">
        <f>+P113/H2</f>
        <v>177310924.3697479</v>
      </c>
    </row>
    <row r="114" spans="4:18" ht="18.75">
      <c r="D114" s="3"/>
      <c r="I114" s="17" t="s">
        <v>40</v>
      </c>
      <c r="J114" s="18">
        <f>+K114/A2/B2</f>
        <v>3.094650440689124</v>
      </c>
      <c r="K114">
        <f>+K112*1000</f>
        <v>2908827007.9058185</v>
      </c>
      <c r="L114" s="17">
        <f>SQRT(R114)</f>
        <v>21.516345282636973</v>
      </c>
      <c r="M114">
        <f>+K114/L114</f>
        <v>135191500.67986465</v>
      </c>
      <c r="N114">
        <f>+M114/C2</f>
        <v>1564.716443053989</v>
      </c>
      <c r="O114">
        <f>+N114/D2</f>
        <v>4.283960145253905</v>
      </c>
      <c r="P114" s="1" t="s">
        <v>78</v>
      </c>
      <c r="Q114" s="1" t="s">
        <v>48</v>
      </c>
      <c r="R114">
        <f>+G112/K114</f>
        <v>462.9531143216543</v>
      </c>
    </row>
    <row r="115" spans="1:18" ht="18.75">
      <c r="A115" s="9" t="s">
        <v>11</v>
      </c>
      <c r="B115" s="9" t="s">
        <v>12</v>
      </c>
      <c r="C115" s="9" t="s">
        <v>13</v>
      </c>
      <c r="D115" s="9" t="s">
        <v>14</v>
      </c>
      <c r="E115" s="9" t="s">
        <v>15</v>
      </c>
      <c r="F115" s="9" t="s">
        <v>16</v>
      </c>
      <c r="G115" s="9" t="s">
        <v>17</v>
      </c>
      <c r="H115" s="9" t="s">
        <v>18</v>
      </c>
      <c r="I115" s="14" t="s">
        <v>19</v>
      </c>
      <c r="J115" s="14" t="s">
        <v>46</v>
      </c>
      <c r="K115" s="14" t="s">
        <v>20</v>
      </c>
      <c r="L115" s="14" t="s">
        <v>21</v>
      </c>
      <c r="M115" s="14" t="s">
        <v>22</v>
      </c>
      <c r="N115" s="14" t="s">
        <v>23</v>
      </c>
      <c r="O115" s="14" t="s">
        <v>24</v>
      </c>
      <c r="P115" s="14" t="s">
        <v>25</v>
      </c>
      <c r="Q115" s="14" t="s">
        <v>26</v>
      </c>
      <c r="R115" s="13" t="s">
        <v>27</v>
      </c>
    </row>
    <row r="116" spans="1:18" ht="18.75">
      <c r="A116" s="11"/>
      <c r="B116" s="12"/>
      <c r="C116" s="11" t="s">
        <v>28</v>
      </c>
      <c r="D116" s="12" t="s">
        <v>29</v>
      </c>
      <c r="E116" s="12"/>
      <c r="F116" s="11" t="s">
        <v>30</v>
      </c>
      <c r="G116" s="11" t="s">
        <v>31</v>
      </c>
      <c r="H116" s="11" t="s">
        <v>32</v>
      </c>
      <c r="I116" s="14" t="s">
        <v>33</v>
      </c>
      <c r="J116" s="10" t="s">
        <v>35</v>
      </c>
      <c r="K116" s="14" t="s">
        <v>31</v>
      </c>
      <c r="L116" s="14" t="s">
        <v>34</v>
      </c>
      <c r="M116" s="15"/>
      <c r="N116" s="10" t="s">
        <v>35</v>
      </c>
      <c r="O116" s="15"/>
      <c r="P116" s="10" t="s">
        <v>35</v>
      </c>
      <c r="Q116" s="15"/>
      <c r="R116" s="1"/>
    </row>
    <row r="117" spans="1:18" ht="18.75">
      <c r="A117" s="17" t="s">
        <v>130</v>
      </c>
      <c r="B117" s="17" t="s">
        <v>131</v>
      </c>
      <c r="C117" s="17">
        <v>50.6</v>
      </c>
      <c r="D117" s="17">
        <f>+G117*H2</f>
        <v>2.0588954294366615E+30</v>
      </c>
      <c r="E117" s="17">
        <f>+D117/E2</f>
        <v>1.035140990164234</v>
      </c>
      <c r="F117" s="17">
        <f>+H2/(G117*L117)</f>
        <v>7.41449198980345</v>
      </c>
      <c r="G117" s="17">
        <f>+K118*L118*L118</f>
        <v>865082113208.6813</v>
      </c>
      <c r="H117" s="17">
        <f>+G117/A2/B2</f>
        <v>920.3458079828871</v>
      </c>
      <c r="I117" s="17" t="s">
        <v>38</v>
      </c>
      <c r="J117" s="1" t="s">
        <v>132</v>
      </c>
      <c r="K117">
        <f>+L117*B2</f>
        <v>2331412.433207129</v>
      </c>
      <c r="L117" s="17">
        <f>SQRT(R117)</f>
        <v>371054.94544294773</v>
      </c>
      <c r="M117" s="1" t="s">
        <v>116</v>
      </c>
      <c r="N117" s="1" t="s">
        <v>82</v>
      </c>
      <c r="O117" s="1" t="s">
        <v>77</v>
      </c>
      <c r="P117" s="1" t="s">
        <v>116</v>
      </c>
      <c r="Q117" s="1" t="s">
        <v>121</v>
      </c>
      <c r="R117">
        <f>+G117/B2</f>
        <v>137681772537.6689</v>
      </c>
    </row>
    <row r="118" spans="9:17" ht="18.75">
      <c r="I118" s="17" t="s">
        <v>39</v>
      </c>
      <c r="J118">
        <v>0.91</v>
      </c>
      <c r="K118">
        <f>+J118*A2*B2</f>
        <v>855357536.47344</v>
      </c>
      <c r="L118" s="17">
        <f>+K118/M118</f>
        <v>31.802028547899493</v>
      </c>
      <c r="M118">
        <f>+N118*C2</f>
        <v>26896320</v>
      </c>
      <c r="N118">
        <v>311.3</v>
      </c>
      <c r="O118">
        <f>+N118/D2</f>
        <v>0.8522929500342231</v>
      </c>
      <c r="P118">
        <f>+F2/2.24</f>
        <v>8.477678571428571E+26</v>
      </c>
      <c r="Q118" s="17">
        <f>+P118/H2</f>
        <v>356204981.9927971</v>
      </c>
    </row>
    <row r="119" spans="9:18" ht="18.75">
      <c r="I119" s="17" t="s">
        <v>40</v>
      </c>
      <c r="J119" s="17">
        <f>+K119/A2/B2</f>
        <v>2.480349121568026</v>
      </c>
      <c r="K119">
        <f>+K117*1000</f>
        <v>2331412433.207129</v>
      </c>
      <c r="L119" s="17">
        <f>SQRT(R119)</f>
        <v>19.262786544084108</v>
      </c>
      <c r="M119">
        <f>+K119/L119</f>
        <v>121031940.41378924</v>
      </c>
      <c r="N119">
        <f>+M119/C2</f>
        <v>1400.8326436781163</v>
      </c>
      <c r="O119" s="3">
        <f>+N119/D2</f>
        <v>3.8352707561344728</v>
      </c>
      <c r="P119" s="1" t="s">
        <v>60</v>
      </c>
      <c r="Q119" s="1" t="s">
        <v>76</v>
      </c>
      <c r="R119">
        <f>+G117/K119</f>
        <v>371.0549454429477</v>
      </c>
    </row>
    <row r="120" spans="1:18" ht="18.75">
      <c r="A120" s="9" t="s">
        <v>11</v>
      </c>
      <c r="B120" s="9" t="s">
        <v>12</v>
      </c>
      <c r="C120" s="9" t="s">
        <v>13</v>
      </c>
      <c r="D120" s="9" t="s">
        <v>14</v>
      </c>
      <c r="E120" s="9" t="s">
        <v>15</v>
      </c>
      <c r="F120" s="9" t="s">
        <v>16</v>
      </c>
      <c r="G120" s="9" t="s">
        <v>17</v>
      </c>
      <c r="H120" s="9" t="s">
        <v>18</v>
      </c>
      <c r="I120" s="14" t="s">
        <v>19</v>
      </c>
      <c r="J120" s="14" t="s">
        <v>46</v>
      </c>
      <c r="K120" s="14" t="s">
        <v>20</v>
      </c>
      <c r="L120" s="14" t="s">
        <v>21</v>
      </c>
      <c r="M120" s="14" t="s">
        <v>22</v>
      </c>
      <c r="N120" s="14" t="s">
        <v>23</v>
      </c>
      <c r="O120" s="14" t="s">
        <v>24</v>
      </c>
      <c r="P120" s="14" t="s">
        <v>25</v>
      </c>
      <c r="Q120" s="14" t="s">
        <v>26</v>
      </c>
      <c r="R120" s="13" t="s">
        <v>27</v>
      </c>
    </row>
    <row r="121" spans="1:18" ht="18.75">
      <c r="A121" s="11"/>
      <c r="B121" s="12"/>
      <c r="C121" s="11" t="s">
        <v>28</v>
      </c>
      <c r="D121" s="12" t="s">
        <v>29</v>
      </c>
      <c r="E121" s="12"/>
      <c r="F121" s="11" t="s">
        <v>30</v>
      </c>
      <c r="G121" s="11" t="s">
        <v>31</v>
      </c>
      <c r="H121" s="11" t="s">
        <v>32</v>
      </c>
      <c r="I121" s="14" t="s">
        <v>33</v>
      </c>
      <c r="J121" s="10" t="s">
        <v>35</v>
      </c>
      <c r="K121" s="14" t="s">
        <v>31</v>
      </c>
      <c r="L121" s="14" t="s">
        <v>34</v>
      </c>
      <c r="M121" s="15"/>
      <c r="N121" s="10" t="s">
        <v>35</v>
      </c>
      <c r="O121" s="15"/>
      <c r="P121" s="10" t="s">
        <v>35</v>
      </c>
      <c r="Q121" s="15"/>
      <c r="R121" s="1"/>
    </row>
    <row r="122" spans="1:18" ht="18.75">
      <c r="A122" s="17" t="s">
        <v>133</v>
      </c>
      <c r="B122" s="17" t="s">
        <v>127</v>
      </c>
      <c r="C122" s="17">
        <v>109</v>
      </c>
      <c r="D122" s="17">
        <f>+G122*H2</f>
        <v>4.3880724707848117E+30</v>
      </c>
      <c r="E122" s="17">
        <f>+D122/E2</f>
        <v>2.206170171334747</v>
      </c>
      <c r="F122" s="17">
        <f>+H2/(G122*L122)</f>
        <v>2.7883232023089564</v>
      </c>
      <c r="G122" s="17">
        <f>+K123*L123*L123</f>
        <v>1843727928901.1814</v>
      </c>
      <c r="H122" s="17">
        <f>+G122/A2/B2</f>
        <v>1961.5100630520635</v>
      </c>
      <c r="I122" s="17" t="s">
        <v>38</v>
      </c>
      <c r="J122" s="1" t="s">
        <v>134</v>
      </c>
      <c r="K122">
        <f>+L122*B2</f>
        <v>2908827.0079058185</v>
      </c>
      <c r="L122" s="17">
        <f>SQRT(R122)</f>
        <v>462953.1143216543</v>
      </c>
      <c r="M122" s="1" t="s">
        <v>76</v>
      </c>
      <c r="N122" s="1" t="s">
        <v>76</v>
      </c>
      <c r="O122" s="1" t="s">
        <v>51</v>
      </c>
      <c r="P122" s="1" t="s">
        <v>116</v>
      </c>
      <c r="Q122" s="1" t="s">
        <v>135</v>
      </c>
      <c r="R122">
        <f>+G112/B2</f>
        <v>214325586060.11874</v>
      </c>
    </row>
    <row r="123" spans="9:17" ht="18.75">
      <c r="I123" s="17" t="s">
        <v>39</v>
      </c>
      <c r="J123">
        <v>1.29</v>
      </c>
      <c r="K123">
        <f>+J123*A2*B2</f>
        <v>1212539804.45136</v>
      </c>
      <c r="L123" s="17">
        <f>+K123/M123</f>
        <v>38.99423593910346</v>
      </c>
      <c r="M123">
        <f>+N123*C2</f>
        <v>31095359.999999996</v>
      </c>
      <c r="N123">
        <v>359.9</v>
      </c>
      <c r="O123">
        <f>+N123/D2</f>
        <v>0.9853524982888432</v>
      </c>
      <c r="P123">
        <f>+F2/4.6</f>
        <v>4.1282608695652175E+26</v>
      </c>
      <c r="Q123" s="17">
        <f>+P123/H2</f>
        <v>173456339.05736208</v>
      </c>
    </row>
    <row r="124" spans="9:18" ht="18.75">
      <c r="I124" s="17" t="s">
        <v>40</v>
      </c>
      <c r="J124" s="17">
        <f>+K124/A2/B2</f>
        <v>3.094650440689124</v>
      </c>
      <c r="K124">
        <f>+K122*1000</f>
        <v>2908827007.9058185</v>
      </c>
      <c r="L124" s="17">
        <f>SQRT(R124)</f>
        <v>25.17615885945968</v>
      </c>
      <c r="M124">
        <f>+K124/L124</f>
        <v>115538951.91652149</v>
      </c>
      <c r="N124">
        <f>+M124/C2</f>
        <v>1337.2563879227025</v>
      </c>
      <c r="O124" s="3">
        <f>+N124/D2</f>
        <v>3.6612084542716015</v>
      </c>
      <c r="P124" s="1" t="s">
        <v>58</v>
      </c>
      <c r="Q124" s="1" t="s">
        <v>59</v>
      </c>
      <c r="R124">
        <f>+G122/K124</f>
        <v>633.8389749167501</v>
      </c>
    </row>
    <row r="125" spans="1:18" ht="18.75">
      <c r="A125" s="9" t="s">
        <v>11</v>
      </c>
      <c r="B125" s="9" t="s">
        <v>12</v>
      </c>
      <c r="C125" s="9" t="s">
        <v>13</v>
      </c>
      <c r="D125" s="9" t="s">
        <v>14</v>
      </c>
      <c r="E125" s="9" t="s">
        <v>15</v>
      </c>
      <c r="F125" s="9" t="s">
        <v>16</v>
      </c>
      <c r="G125" s="9" t="s">
        <v>17</v>
      </c>
      <c r="H125" s="9" t="s">
        <v>18</v>
      </c>
      <c r="I125" s="14" t="s">
        <v>19</v>
      </c>
      <c r="J125" s="14" t="s">
        <v>46</v>
      </c>
      <c r="K125" s="14" t="s">
        <v>20</v>
      </c>
      <c r="L125" s="14" t="s">
        <v>21</v>
      </c>
      <c r="M125" s="14" t="s">
        <v>22</v>
      </c>
      <c r="N125" s="14" t="s">
        <v>23</v>
      </c>
      <c r="O125" s="14" t="s">
        <v>24</v>
      </c>
      <c r="P125" s="14" t="s">
        <v>25</v>
      </c>
      <c r="Q125" s="14" t="s">
        <v>26</v>
      </c>
      <c r="R125" s="13" t="s">
        <v>27</v>
      </c>
    </row>
    <row r="126" spans="1:18" ht="18.75">
      <c r="A126" s="11"/>
      <c r="B126" s="12"/>
      <c r="C126" s="11" t="s">
        <v>28</v>
      </c>
      <c r="D126" s="12" t="s">
        <v>29</v>
      </c>
      <c r="E126" s="12"/>
      <c r="F126" s="11" t="s">
        <v>30</v>
      </c>
      <c r="G126" s="11" t="s">
        <v>31</v>
      </c>
      <c r="H126" s="11" t="s">
        <v>32</v>
      </c>
      <c r="I126" s="14" t="s">
        <v>33</v>
      </c>
      <c r="J126" s="10" t="s">
        <v>35</v>
      </c>
      <c r="K126" s="14" t="s">
        <v>31</v>
      </c>
      <c r="L126" s="14" t="s">
        <v>34</v>
      </c>
      <c r="M126" s="15"/>
      <c r="N126" s="10" t="s">
        <v>35</v>
      </c>
      <c r="O126" s="15"/>
      <c r="P126" s="10" t="s">
        <v>35</v>
      </c>
      <c r="Q126" s="15"/>
      <c r="R126" s="1"/>
    </row>
    <row r="127" spans="1:18" ht="18.75">
      <c r="A127" s="17" t="s">
        <v>136</v>
      </c>
      <c r="B127" s="17" t="s">
        <v>123</v>
      </c>
      <c r="C127" s="17">
        <v>173</v>
      </c>
      <c r="D127" s="17">
        <f>+G127*H2</f>
        <v>1.9666982946322454E+30</v>
      </c>
      <c r="E127" s="17">
        <f>+D127/E2</f>
        <v>0.9887874784475844</v>
      </c>
      <c r="F127" s="17">
        <f>+H2/(G127*L127)</f>
        <v>7.941933070857882</v>
      </c>
      <c r="G127" s="17">
        <f>+K128*L128*L128</f>
        <v>826343821274.0527</v>
      </c>
      <c r="H127" s="17">
        <f>+G127/A2/B2</f>
        <v>879.1328132323504</v>
      </c>
      <c r="I127" s="17" t="s">
        <v>38</v>
      </c>
      <c r="J127" s="1" t="s">
        <v>137</v>
      </c>
      <c r="K127">
        <f>+L127*B2</f>
        <v>2278614.3811161043</v>
      </c>
      <c r="L127" s="17">
        <f>SQRT(R127)</f>
        <v>362651.89411702706</v>
      </c>
      <c r="M127" s="1" t="s">
        <v>44</v>
      </c>
      <c r="N127" s="1" t="s">
        <v>76</v>
      </c>
      <c r="O127" s="1" t="s">
        <v>58</v>
      </c>
      <c r="P127" s="1" t="s">
        <v>138</v>
      </c>
      <c r="Q127" s="1" t="s">
        <v>139</v>
      </c>
      <c r="R127">
        <f>+G127/B2</f>
        <v>131516396306.66742</v>
      </c>
    </row>
    <row r="128" spans="7:17" ht="18.75">
      <c r="G128">
        <f>+K128*L128*L128</f>
        <v>826343821274.0527</v>
      </c>
      <c r="I128" s="17" t="s">
        <v>39</v>
      </c>
      <c r="J128">
        <v>0.0692</v>
      </c>
      <c r="K128">
        <f>+J128*A2*B2</f>
        <v>65044770.9054528</v>
      </c>
      <c r="L128" s="17">
        <f>+K128/M128</f>
        <v>112.71304895659493</v>
      </c>
      <c r="M128">
        <f>+N128*C2</f>
        <v>577082.88</v>
      </c>
      <c r="N128">
        <v>6.6792</v>
      </c>
      <c r="O128">
        <f>+N128/D2</f>
        <v>0.01828665297741273</v>
      </c>
      <c r="P128">
        <f>+F2/3.84</f>
        <v>4.9453125E+26</v>
      </c>
      <c r="Q128" s="17">
        <f>+P128/H2</f>
        <v>207786239.49579832</v>
      </c>
    </row>
    <row r="129" spans="7:17" ht="18.75">
      <c r="G129">
        <f>+K129*L129*L129</f>
        <v>826584560341.4681</v>
      </c>
      <c r="I129" s="17" t="s">
        <v>114</v>
      </c>
      <c r="J129">
        <v>0.4071</v>
      </c>
      <c r="K129">
        <f>+J129*A2*B2</f>
        <v>382655003.40476644</v>
      </c>
      <c r="L129" s="17">
        <f>+K129/M129</f>
        <v>46.47719893108753</v>
      </c>
      <c r="M129">
        <f>+N129*C2</f>
        <v>8233176.96</v>
      </c>
      <c r="N129">
        <v>95.2914</v>
      </c>
      <c r="O129">
        <f>+N129/D2</f>
        <v>0.2608936344969199</v>
      </c>
      <c r="P129">
        <f>+F2*0.76</f>
        <v>1.44324E+27</v>
      </c>
      <c r="Q129" s="17">
        <f>+P129/H2</f>
        <v>606403361.3445379</v>
      </c>
    </row>
    <row r="130" spans="9:18" ht="18.75">
      <c r="I130" s="17" t="s">
        <v>40</v>
      </c>
      <c r="J130" s="17">
        <f>+K130/A2/B2</f>
        <v>2.42417819262418</v>
      </c>
      <c r="K130">
        <f>+K127*1000</f>
        <v>2278614381.116104</v>
      </c>
      <c r="L130" s="17">
        <f>SQRT(R130)</f>
        <v>19.043421281824</v>
      </c>
      <c r="M130">
        <f>+K130/L130</f>
        <v>119653624.5979565</v>
      </c>
      <c r="N130">
        <f>+M130/C2</f>
        <v>1384.8799143282001</v>
      </c>
      <c r="O130" s="3">
        <f>+N130/D2</f>
        <v>3.7915945635268997</v>
      </c>
      <c r="P130" s="1" t="s">
        <v>140</v>
      </c>
      <c r="Q130" s="1" t="s">
        <v>78</v>
      </c>
      <c r="R130">
        <f>+G127/K130</f>
        <v>362.65189411702715</v>
      </c>
    </row>
    <row r="131" spans="1:18" ht="18.75">
      <c r="A131" s="9" t="s">
        <v>11</v>
      </c>
      <c r="B131" s="9" t="s">
        <v>12</v>
      </c>
      <c r="C131" s="9" t="s">
        <v>13</v>
      </c>
      <c r="D131" s="9" t="s">
        <v>14</v>
      </c>
      <c r="E131" s="9" t="s">
        <v>15</v>
      </c>
      <c r="F131" s="9" t="s">
        <v>16</v>
      </c>
      <c r="G131" s="9" t="s">
        <v>17</v>
      </c>
      <c r="H131" s="9" t="s">
        <v>18</v>
      </c>
      <c r="I131" s="14" t="s">
        <v>19</v>
      </c>
      <c r="J131" s="14" t="s">
        <v>46</v>
      </c>
      <c r="K131" s="14" t="s">
        <v>20</v>
      </c>
      <c r="L131" s="14" t="s">
        <v>21</v>
      </c>
      <c r="M131" s="14" t="s">
        <v>22</v>
      </c>
      <c r="N131" s="14" t="s">
        <v>23</v>
      </c>
      <c r="O131" s="14" t="s">
        <v>24</v>
      </c>
      <c r="P131" s="14" t="s">
        <v>25</v>
      </c>
      <c r="Q131" s="14" t="s">
        <v>26</v>
      </c>
      <c r="R131" s="13" t="s">
        <v>27</v>
      </c>
    </row>
    <row r="132" spans="1:18" ht="18.75">
      <c r="A132" s="11" t="s">
        <v>142</v>
      </c>
      <c r="B132" s="12"/>
      <c r="C132" s="11" t="s">
        <v>28</v>
      </c>
      <c r="D132" s="12" t="s">
        <v>29</v>
      </c>
      <c r="E132" s="12"/>
      <c r="F132" s="11" t="s">
        <v>30</v>
      </c>
      <c r="G132" s="11" t="s">
        <v>31</v>
      </c>
      <c r="H132" s="11" t="s">
        <v>32</v>
      </c>
      <c r="I132" s="14" t="s">
        <v>33</v>
      </c>
      <c r="J132" s="10" t="s">
        <v>35</v>
      </c>
      <c r="K132" s="14" t="s">
        <v>31</v>
      </c>
      <c r="L132" s="14" t="s">
        <v>34</v>
      </c>
      <c r="M132" s="15"/>
      <c r="N132" s="10" t="s">
        <v>35</v>
      </c>
      <c r="O132" s="15"/>
      <c r="P132" s="10" t="s">
        <v>35</v>
      </c>
      <c r="Q132" s="15"/>
      <c r="R132" s="1"/>
    </row>
    <row r="133" spans="1:18" ht="18.75">
      <c r="A133" s="17" t="s">
        <v>141</v>
      </c>
      <c r="B133" s="17" t="s">
        <v>62</v>
      </c>
      <c r="C133" s="17">
        <v>73</v>
      </c>
      <c r="D133" s="17">
        <f>+G133*H2</f>
        <v>2.687644601241987E+30</v>
      </c>
      <c r="E133" s="17">
        <f>+D133/E2</f>
        <v>1.3512541987139202</v>
      </c>
      <c r="F133" s="17">
        <f>+H2/(G133*L133)</f>
        <v>4.971358416240627</v>
      </c>
      <c r="G133" s="17">
        <f>+K134*L134*L134</f>
        <v>1129262437496.6333</v>
      </c>
      <c r="H133" s="17">
        <f>+G133/A2/B2</f>
        <v>1201.4026583067882</v>
      </c>
      <c r="I133" s="17" t="s">
        <v>38</v>
      </c>
      <c r="J133" s="1" t="s">
        <v>143</v>
      </c>
      <c r="K133">
        <f>+L133*B2</f>
        <v>2663715.778246404</v>
      </c>
      <c r="L133" s="17">
        <f>SQRT(R133)</f>
        <v>423942.54173771397</v>
      </c>
      <c r="M133" s="1" t="s">
        <v>76</v>
      </c>
      <c r="N133" s="1" t="s">
        <v>47</v>
      </c>
      <c r="O133" s="1" t="s">
        <v>85</v>
      </c>
      <c r="P133" s="1" t="s">
        <v>69</v>
      </c>
      <c r="Q133" s="1" t="s">
        <v>82</v>
      </c>
      <c r="R133">
        <f>+G133/B2</f>
        <v>179727278695.03333</v>
      </c>
    </row>
    <row r="134" spans="7:17" ht="18.75">
      <c r="G134">
        <f>+K134*L134*L134</f>
        <v>1129262437496.6333</v>
      </c>
      <c r="I134" s="17" t="s">
        <v>39</v>
      </c>
      <c r="J134">
        <v>1.428</v>
      </c>
      <c r="K134">
        <f>+J134*A2*B2</f>
        <v>1342253364.927552</v>
      </c>
      <c r="L134" s="17">
        <f>+K134/M134</f>
        <v>29.005488931752552</v>
      </c>
      <c r="M134">
        <f>+N134*C2</f>
        <v>46275840</v>
      </c>
      <c r="N134">
        <v>535.6</v>
      </c>
      <c r="O134">
        <f>+N134/D2</f>
        <v>1.4663928815879534</v>
      </c>
      <c r="P134">
        <f>+F2/1.69</f>
        <v>1.1236686390532545E+27</v>
      </c>
      <c r="Q134" s="17">
        <f>+P134/H2</f>
        <v>472129680.2744767</v>
      </c>
    </row>
    <row r="135" spans="9:18" ht="18.75">
      <c r="I135" s="17" t="s">
        <v>40</v>
      </c>
      <c r="J135" s="17">
        <f>+K135/A2/B2</f>
        <v>2.833880868342002</v>
      </c>
      <c r="K135">
        <f>+K133*1000</f>
        <v>2663715778.246404</v>
      </c>
      <c r="L135" s="17">
        <f>SQRT(R135)</f>
        <v>20.589865024757056</v>
      </c>
      <c r="M135">
        <f>+K135/L135</f>
        <v>129370239.92355354</v>
      </c>
      <c r="N135">
        <f>+M135/C2</f>
        <v>1497.3407398559439</v>
      </c>
      <c r="O135" s="3">
        <f>+N135/D2</f>
        <v>4.0994955232195585</v>
      </c>
      <c r="P135" s="1" t="s">
        <v>69</v>
      </c>
      <c r="Q135" s="1" t="s">
        <v>98</v>
      </c>
      <c r="R135">
        <f>+G133/K135</f>
        <v>423.9425417377139</v>
      </c>
    </row>
    <row r="136" spans="7:17" ht="18.75">
      <c r="G136">
        <f>+K136*L136*L136</f>
        <v>1129213741272.2542</v>
      </c>
      <c r="H136" s="1" t="s">
        <v>11</v>
      </c>
      <c r="I136" s="17" t="s">
        <v>119</v>
      </c>
      <c r="J136">
        <v>139.77</v>
      </c>
      <c r="K136">
        <f>+J136*A2*B2</f>
        <v>131377277882.29968</v>
      </c>
      <c r="L136" s="17">
        <f>+K136/M136</f>
        <v>2.9317568438749264</v>
      </c>
      <c r="M136">
        <f>+N136*C2</f>
        <v>44811792000</v>
      </c>
      <c r="N136">
        <f>+O136*D2</f>
        <v>518655</v>
      </c>
      <c r="O136">
        <v>1420</v>
      </c>
      <c r="P136">
        <f>+E2*0.53</f>
        <v>1.05417E+30</v>
      </c>
      <c r="Q136" s="17">
        <f>+P136/H2</f>
        <v>442928571428.5714</v>
      </c>
    </row>
    <row r="137" spans="1:18" ht="18.75">
      <c r="A137" s="9" t="s">
        <v>11</v>
      </c>
      <c r="B137" s="9" t="s">
        <v>12</v>
      </c>
      <c r="C137" s="9" t="s">
        <v>13</v>
      </c>
      <c r="D137" s="9" t="s">
        <v>14</v>
      </c>
      <c r="E137" s="9" t="s">
        <v>15</v>
      </c>
      <c r="F137" s="9" t="s">
        <v>16</v>
      </c>
      <c r="G137" s="9" t="s">
        <v>17</v>
      </c>
      <c r="H137" s="9" t="s">
        <v>18</v>
      </c>
      <c r="I137" s="14" t="s">
        <v>19</v>
      </c>
      <c r="J137" s="14" t="s">
        <v>46</v>
      </c>
      <c r="K137" s="14" t="s">
        <v>20</v>
      </c>
      <c r="L137" s="14" t="s">
        <v>21</v>
      </c>
      <c r="M137" s="14" t="s">
        <v>22</v>
      </c>
      <c r="N137" s="14" t="s">
        <v>23</v>
      </c>
      <c r="O137" s="14" t="s">
        <v>24</v>
      </c>
      <c r="P137" s="14" t="s">
        <v>25</v>
      </c>
      <c r="Q137" s="14" t="s">
        <v>26</v>
      </c>
      <c r="R137" s="13" t="s">
        <v>27</v>
      </c>
    </row>
    <row r="138" spans="1:18" ht="18.75">
      <c r="A138" s="11"/>
      <c r="B138" s="12"/>
      <c r="C138" s="11" t="s">
        <v>28</v>
      </c>
      <c r="D138" s="12" t="s">
        <v>29</v>
      </c>
      <c r="E138" s="12"/>
      <c r="F138" s="11" t="s">
        <v>30</v>
      </c>
      <c r="G138" s="11" t="s">
        <v>31</v>
      </c>
      <c r="H138" s="11" t="s">
        <v>32</v>
      </c>
      <c r="I138" s="14" t="s">
        <v>33</v>
      </c>
      <c r="J138" s="10" t="s">
        <v>35</v>
      </c>
      <c r="K138" s="14" t="s">
        <v>31</v>
      </c>
      <c r="L138" s="14" t="s">
        <v>34</v>
      </c>
      <c r="M138" s="15"/>
      <c r="N138" s="10" t="s">
        <v>35</v>
      </c>
      <c r="O138" s="15"/>
      <c r="P138" s="10" t="s">
        <v>35</v>
      </c>
      <c r="Q138" s="15"/>
      <c r="R138" s="1"/>
    </row>
    <row r="139" spans="1:18" ht="18.75">
      <c r="A139" s="17" t="s">
        <v>144</v>
      </c>
      <c r="B139" s="17" t="s">
        <v>123</v>
      </c>
      <c r="C139" s="17">
        <v>88.44</v>
      </c>
      <c r="D139" s="17">
        <f>+G139*H2</f>
        <v>2.0685136173534995E+30</v>
      </c>
      <c r="E139" s="17">
        <f>+D139/E2</f>
        <v>1.0399766804190547</v>
      </c>
      <c r="F139" s="17">
        <f>+H2/(G139*L139)</f>
        <v>7.3628382226265945</v>
      </c>
      <c r="G139" s="17">
        <f>+K140*L140*L140</f>
        <v>869123368635.9242</v>
      </c>
      <c r="H139" s="17">
        <f>+G139/A2/B2</f>
        <v>924.6452293148756</v>
      </c>
      <c r="I139" s="17" t="s">
        <v>38</v>
      </c>
      <c r="J139" s="1" t="s">
        <v>102</v>
      </c>
      <c r="K139">
        <f>+L139*B2</f>
        <v>2336851.717549327</v>
      </c>
      <c r="L139" s="17">
        <f>SQRT(R139)</f>
        <v>371920.63240853813</v>
      </c>
      <c r="M139" s="1" t="s">
        <v>145</v>
      </c>
      <c r="N139" s="1" t="s">
        <v>82</v>
      </c>
      <c r="O139" s="1" t="s">
        <v>76</v>
      </c>
      <c r="P139" s="1" t="s">
        <v>66</v>
      </c>
      <c r="Q139" s="1" t="s">
        <v>135</v>
      </c>
      <c r="R139">
        <f>+G139/B2</f>
        <v>138324956811.16696</v>
      </c>
    </row>
    <row r="140" spans="9:17" ht="18.75">
      <c r="I140" s="17" t="s">
        <v>39</v>
      </c>
      <c r="J140">
        <v>1.25</v>
      </c>
      <c r="K140">
        <f>+J140*A2*B2</f>
        <v>1174941670.98</v>
      </c>
      <c r="L140" s="17">
        <f>+K140/M140</f>
        <v>27.19772386527778</v>
      </c>
      <c r="M140">
        <f>+N140*C2</f>
        <v>43200000</v>
      </c>
      <c r="N140">
        <v>500</v>
      </c>
      <c r="O140">
        <f>+N140/D2</f>
        <v>1.3689253935660506</v>
      </c>
      <c r="P140">
        <f>+F2/1.07</f>
        <v>1.7747663551401868E+27</v>
      </c>
      <c r="Q140" s="17">
        <f>+P140/H2</f>
        <v>745700149.2185658</v>
      </c>
    </row>
    <row r="141" spans="9:18" ht="18.75">
      <c r="I141" s="17" t="s">
        <v>40</v>
      </c>
      <c r="J141" s="17">
        <f>+K141/A2/B2</f>
        <v>2.4861358815372046</v>
      </c>
      <c r="K141">
        <f>+K139*1000</f>
        <v>2336851717.549327</v>
      </c>
      <c r="L141" s="17">
        <f>SQRT(R141)</f>
        <v>19.285243903268068</v>
      </c>
      <c r="M141" s="1">
        <f>+K141/L141</f>
        <v>121173044.49301392</v>
      </c>
      <c r="N141">
        <f>+M141/C2</f>
        <v>1402.4657927432168</v>
      </c>
      <c r="O141" s="3">
        <f>+N141/D2</f>
        <v>3.8397420745878623</v>
      </c>
      <c r="P141" s="1" t="s">
        <v>60</v>
      </c>
      <c r="Q141" s="1" t="s">
        <v>69</v>
      </c>
      <c r="R141">
        <f>+G139/K141</f>
        <v>371.92063240853815</v>
      </c>
    </row>
    <row r="142" spans="1:18" ht="18.75">
      <c r="A142" s="9" t="s">
        <v>11</v>
      </c>
      <c r="B142" s="9" t="s">
        <v>12</v>
      </c>
      <c r="C142" s="9" t="s">
        <v>13</v>
      </c>
      <c r="D142" s="9" t="s">
        <v>14</v>
      </c>
      <c r="E142" s="9" t="s">
        <v>15</v>
      </c>
      <c r="F142" s="9" t="s">
        <v>16</v>
      </c>
      <c r="G142" s="9" t="s">
        <v>17</v>
      </c>
      <c r="H142" s="9" t="s">
        <v>18</v>
      </c>
      <c r="I142" s="14" t="s">
        <v>19</v>
      </c>
      <c r="J142" s="14" t="s">
        <v>46</v>
      </c>
      <c r="K142" s="14" t="s">
        <v>20</v>
      </c>
      <c r="L142" s="14" t="s">
        <v>21</v>
      </c>
      <c r="M142" s="14" t="s">
        <v>22</v>
      </c>
      <c r="N142" s="14" t="s">
        <v>23</v>
      </c>
      <c r="O142" s="14" t="s">
        <v>24</v>
      </c>
      <c r="P142" s="14" t="s">
        <v>25</v>
      </c>
      <c r="Q142" s="14" t="s">
        <v>26</v>
      </c>
      <c r="R142" s="13" t="s">
        <v>27</v>
      </c>
    </row>
    <row r="143" spans="1:18" ht="18.75">
      <c r="A143" s="11"/>
      <c r="B143" s="12"/>
      <c r="C143" s="11" t="s">
        <v>28</v>
      </c>
      <c r="D143" s="12" t="s">
        <v>29</v>
      </c>
      <c r="E143" s="12"/>
      <c r="F143" s="11" t="s">
        <v>30</v>
      </c>
      <c r="G143" s="11" t="s">
        <v>31</v>
      </c>
      <c r="H143" s="11" t="s">
        <v>32</v>
      </c>
      <c r="I143" s="14" t="s">
        <v>33</v>
      </c>
      <c r="J143" s="10" t="s">
        <v>35</v>
      </c>
      <c r="K143" s="14" t="s">
        <v>31</v>
      </c>
      <c r="L143" s="14" t="s">
        <v>34</v>
      </c>
      <c r="M143" s="15"/>
      <c r="N143" s="10" t="s">
        <v>35</v>
      </c>
      <c r="O143" s="15"/>
      <c r="P143" s="10" t="s">
        <v>35</v>
      </c>
      <c r="Q143" s="15"/>
      <c r="R143" s="1"/>
    </row>
    <row r="144" spans="1:18" ht="18.75">
      <c r="A144" s="17" t="s">
        <v>146</v>
      </c>
      <c r="B144" s="17" t="s">
        <v>147</v>
      </c>
      <c r="C144" s="17">
        <v>117</v>
      </c>
      <c r="D144" s="17">
        <f>+G144*H2</f>
        <v>1.9404273374949522E+30</v>
      </c>
      <c r="E144" s="17">
        <f>+D144/E2</f>
        <v>0.9755793552010821</v>
      </c>
      <c r="F144" s="17">
        <f>+H2/(G144*L144)</f>
        <v>8.103763495239615</v>
      </c>
      <c r="G144" s="17">
        <f>+K145*L145*L145</f>
        <v>815305603989.4757</v>
      </c>
      <c r="H144" s="17">
        <f>+G144/A2/B2</f>
        <v>867.3894459261139</v>
      </c>
      <c r="I144" s="17" t="s">
        <v>38</v>
      </c>
      <c r="J144" s="1" t="s">
        <v>148</v>
      </c>
      <c r="K144">
        <f>+L144*B2</f>
        <v>2263344.46582633</v>
      </c>
      <c r="L144" s="17">
        <f>SQRT(R144)</f>
        <v>360221.61730110925</v>
      </c>
      <c r="M144" s="1" t="s">
        <v>78</v>
      </c>
      <c r="N144" s="1" t="s">
        <v>43</v>
      </c>
      <c r="O144" s="1" t="s">
        <v>58</v>
      </c>
      <c r="P144" s="1" t="s">
        <v>78</v>
      </c>
      <c r="Q144" s="1" t="s">
        <v>82</v>
      </c>
      <c r="R144">
        <f>+G144/B2</f>
        <v>129759613571.02682</v>
      </c>
    </row>
    <row r="145" spans="9:17" ht="18.75">
      <c r="I145" s="17" t="s">
        <v>39</v>
      </c>
      <c r="J145">
        <v>1.36</v>
      </c>
      <c r="K145">
        <f>+J145*A2*B2</f>
        <v>1278336538.02624</v>
      </c>
      <c r="L145" s="17">
        <f>+K145/M145</f>
        <v>25.254432428756207</v>
      </c>
      <c r="M145">
        <f>+N145*C2</f>
        <v>50618304</v>
      </c>
      <c r="N145">
        <v>585.86</v>
      </c>
      <c r="O145">
        <f>+N145/D2</f>
        <v>1.603997262149213</v>
      </c>
      <c r="P145">
        <f>+F2/1.8</f>
        <v>1.055E+27</v>
      </c>
      <c r="Q145" s="17">
        <f>+P145/H2</f>
        <v>443277310.92436975</v>
      </c>
    </row>
    <row r="146" spans="9:18" ht="18.75">
      <c r="I146" s="17" t="s">
        <v>40</v>
      </c>
      <c r="J146" s="17">
        <f>+K146/A2/B2</f>
        <v>2.407932795440933</v>
      </c>
      <c r="K146">
        <f>+K144*1000</f>
        <v>2263344465.8263297</v>
      </c>
      <c r="L146" s="17">
        <f>SQRT(R146)</f>
        <v>18.97950519115578</v>
      </c>
      <c r="M146">
        <f>+K146/L146</f>
        <v>119252027.01707001</v>
      </c>
      <c r="N146">
        <f>+M146/C2</f>
        <v>1380.2317941790511</v>
      </c>
      <c r="O146" s="3">
        <f>+N146/D2</f>
        <v>3.7788687041178677</v>
      </c>
      <c r="P146" s="1" t="s">
        <v>69</v>
      </c>
      <c r="Q146" s="1" t="s">
        <v>48</v>
      </c>
      <c r="R146">
        <f>+G144/K146</f>
        <v>360.22161730110923</v>
      </c>
    </row>
    <row r="147" spans="1:18" ht="18.75">
      <c r="A147" s="9" t="s">
        <v>11</v>
      </c>
      <c r="B147" s="9" t="s">
        <v>12</v>
      </c>
      <c r="C147" s="9" t="s">
        <v>13</v>
      </c>
      <c r="D147" s="9" t="s">
        <v>14</v>
      </c>
      <c r="E147" s="9" t="s">
        <v>15</v>
      </c>
      <c r="F147" s="9" t="s">
        <v>16</v>
      </c>
      <c r="G147" s="9" t="s">
        <v>17</v>
      </c>
      <c r="H147" s="9" t="s">
        <v>18</v>
      </c>
      <c r="I147" s="14" t="s">
        <v>19</v>
      </c>
      <c r="J147" s="14" t="s">
        <v>46</v>
      </c>
      <c r="K147" s="14" t="s">
        <v>20</v>
      </c>
      <c r="L147" s="14" t="s">
        <v>21</v>
      </c>
      <c r="M147" s="14" t="s">
        <v>22</v>
      </c>
      <c r="N147" s="14" t="s">
        <v>23</v>
      </c>
      <c r="O147" s="14" t="s">
        <v>24</v>
      </c>
      <c r="P147" s="14" t="s">
        <v>25</v>
      </c>
      <c r="Q147" s="14" t="s">
        <v>26</v>
      </c>
      <c r="R147" s="13" t="s">
        <v>27</v>
      </c>
    </row>
    <row r="148" spans="1:18" ht="18.75">
      <c r="A148" s="11"/>
      <c r="B148" s="12"/>
      <c r="C148" s="11" t="s">
        <v>28</v>
      </c>
      <c r="D148" s="12" t="s">
        <v>29</v>
      </c>
      <c r="E148" s="12"/>
      <c r="F148" s="11" t="s">
        <v>30</v>
      </c>
      <c r="G148" s="11" t="s">
        <v>31</v>
      </c>
      <c r="H148" s="11" t="s">
        <v>32</v>
      </c>
      <c r="I148" s="14" t="s">
        <v>33</v>
      </c>
      <c r="J148" s="10" t="s">
        <v>35</v>
      </c>
      <c r="K148" s="14" t="s">
        <v>31</v>
      </c>
      <c r="L148" s="14" t="s">
        <v>34</v>
      </c>
      <c r="M148" s="15"/>
      <c r="N148" s="10" t="s">
        <v>35</v>
      </c>
      <c r="O148" s="15"/>
      <c r="P148" s="10" t="s">
        <v>35</v>
      </c>
      <c r="Q148" s="15"/>
      <c r="R148" s="1"/>
    </row>
    <row r="149" spans="1:18" ht="18.75">
      <c r="A149" s="17" t="s">
        <v>149</v>
      </c>
      <c r="B149" s="17" t="s">
        <v>150</v>
      </c>
      <c r="C149" s="17">
        <v>290</v>
      </c>
      <c r="D149" s="17">
        <f>+G149*H2</f>
        <v>2.4835030950862473E+30</v>
      </c>
      <c r="E149" s="17">
        <f>+D149/E2</f>
        <v>1.2486189517779023</v>
      </c>
      <c r="F149" s="17">
        <f>+H2/(G149*L149)</f>
        <v>5.596748302880688</v>
      </c>
      <c r="G149" s="17">
        <f>+K150*L150*L150</f>
        <v>1043488695414.3896</v>
      </c>
      <c r="H149" s="17">
        <f>+G149/A2/B2</f>
        <v>1110.1494665518508</v>
      </c>
      <c r="I149" s="17" t="s">
        <v>38</v>
      </c>
      <c r="J149" s="1" t="s">
        <v>151</v>
      </c>
      <c r="K149">
        <f>+L149*B2</f>
        <v>2560556.222977284</v>
      </c>
      <c r="L149" s="17">
        <f>SQRT(R149)</f>
        <v>407524.22698263364</v>
      </c>
      <c r="M149" s="1" t="s">
        <v>58</v>
      </c>
      <c r="N149" s="1" t="s">
        <v>76</v>
      </c>
      <c r="O149" s="1" t="s">
        <v>51</v>
      </c>
      <c r="P149" s="1" t="s">
        <v>58</v>
      </c>
      <c r="Q149" s="1" t="s">
        <v>98</v>
      </c>
      <c r="R149">
        <f>+G149/B2</f>
        <v>166075995577.79312</v>
      </c>
    </row>
    <row r="150" spans="9:17" ht="18.75">
      <c r="I150" s="17" t="s">
        <v>39</v>
      </c>
      <c r="J150">
        <v>2.4</v>
      </c>
      <c r="K150">
        <f>+J150*A2*B2</f>
        <v>2255888008.2816</v>
      </c>
      <c r="L150" s="17">
        <f>+K150/M150</f>
        <v>21.507261046677648</v>
      </c>
      <c r="M150">
        <f>+N150*C2</f>
        <v>104889600</v>
      </c>
      <c r="N150">
        <v>1214</v>
      </c>
      <c r="O150">
        <f>+N150/D2</f>
        <v>3.323750855578371</v>
      </c>
      <c r="P150">
        <f>+F2/1.5</f>
        <v>1.266E+27</v>
      </c>
      <c r="Q150" s="17">
        <f>+P150/H2</f>
        <v>531932773.10924375</v>
      </c>
    </row>
    <row r="151" spans="9:18" ht="18.75">
      <c r="I151" s="17" t="s">
        <v>40</v>
      </c>
      <c r="J151" s="17">
        <f>+K151/A2/B2</f>
        <v>2.724131212447301</v>
      </c>
      <c r="K151">
        <f>+K149*1000</f>
        <v>2560556222.977284</v>
      </c>
      <c r="L151" s="17">
        <f>SQRT(R151)</f>
        <v>20.18722930425653</v>
      </c>
      <c r="M151">
        <f>+K151/L151</f>
        <v>126840399.16450466</v>
      </c>
      <c r="N151">
        <f>+M151/C2</f>
        <v>1468.0601755151004</v>
      </c>
      <c r="O151" s="3">
        <f>+N151/D2</f>
        <v>4.019329707091308</v>
      </c>
      <c r="P151" s="1" t="s">
        <v>44</v>
      </c>
      <c r="Q151" s="1" t="s">
        <v>76</v>
      </c>
      <c r="R151">
        <f>+G149/K151</f>
        <v>407.5242269826336</v>
      </c>
    </row>
    <row r="152" spans="1:18" ht="18.75">
      <c r="A152" s="9" t="s">
        <v>11</v>
      </c>
      <c r="B152" s="9" t="s">
        <v>12</v>
      </c>
      <c r="C152" s="9" t="s">
        <v>13</v>
      </c>
      <c r="D152" s="9" t="s">
        <v>14</v>
      </c>
      <c r="E152" s="9" t="s">
        <v>15</v>
      </c>
      <c r="F152" s="9" t="s">
        <v>16</v>
      </c>
      <c r="G152" s="9" t="s">
        <v>17</v>
      </c>
      <c r="H152" s="9" t="s">
        <v>18</v>
      </c>
      <c r="I152" s="14" t="s">
        <v>19</v>
      </c>
      <c r="J152" s="14" t="s">
        <v>46</v>
      </c>
      <c r="K152" s="14" t="s">
        <v>20</v>
      </c>
      <c r="L152" s="14" t="s">
        <v>21</v>
      </c>
      <c r="M152" s="14" t="s">
        <v>22</v>
      </c>
      <c r="N152" s="14" t="s">
        <v>23</v>
      </c>
      <c r="O152" s="14" t="s">
        <v>24</v>
      </c>
      <c r="P152" s="14" t="s">
        <v>25</v>
      </c>
      <c r="Q152" s="14" t="s">
        <v>26</v>
      </c>
      <c r="R152" s="13" t="s">
        <v>27</v>
      </c>
    </row>
    <row r="153" spans="1:18" ht="18.75">
      <c r="A153" s="11"/>
      <c r="B153" s="12"/>
      <c r="C153" s="11" t="s">
        <v>28</v>
      </c>
      <c r="D153" s="12" t="s">
        <v>29</v>
      </c>
      <c r="E153" s="12"/>
      <c r="F153" s="11" t="s">
        <v>30</v>
      </c>
      <c r="G153" s="11" t="s">
        <v>31</v>
      </c>
      <c r="H153" s="11" t="s">
        <v>32</v>
      </c>
      <c r="I153" s="14" t="s">
        <v>33</v>
      </c>
      <c r="J153" s="10" t="s">
        <v>35</v>
      </c>
      <c r="K153" s="14" t="s">
        <v>31</v>
      </c>
      <c r="L153" s="14" t="s">
        <v>34</v>
      </c>
      <c r="M153" s="15"/>
      <c r="N153" s="10" t="s">
        <v>35</v>
      </c>
      <c r="O153" s="15"/>
      <c r="P153" s="10" t="s">
        <v>35</v>
      </c>
      <c r="Q153" s="15"/>
      <c r="R153" s="1"/>
    </row>
    <row r="154" spans="1:18" ht="18.75">
      <c r="A154" s="17" t="s">
        <v>152</v>
      </c>
      <c r="B154" s="17" t="s">
        <v>150</v>
      </c>
      <c r="C154" s="17">
        <v>113.5</v>
      </c>
      <c r="D154" s="17">
        <f>+G154*H2</f>
        <v>2.1810589849448057E+30</v>
      </c>
      <c r="E154" s="17">
        <f>+D154/E2</f>
        <v>1.0965605756384142</v>
      </c>
      <c r="F154" s="17">
        <f>+H2/(G154*L154)</f>
        <v>6.800357089644249</v>
      </c>
      <c r="G154" s="17">
        <f>+K155*L155*L155</f>
        <v>916411338212.1033</v>
      </c>
      <c r="H154" s="17">
        <f>+G154/A2/B2</f>
        <v>974.9540773455368</v>
      </c>
      <c r="I154" s="17" t="s">
        <v>38</v>
      </c>
      <c r="J154" s="1" t="s">
        <v>120</v>
      </c>
      <c r="K154" s="1">
        <f>+L154*B2</f>
        <v>2399582.405389381</v>
      </c>
      <c r="L154" s="17">
        <f>SQRT(R154)</f>
        <v>381904.50811519305</v>
      </c>
      <c r="M154" s="1" t="s">
        <v>51</v>
      </c>
      <c r="N154" s="1" t="s">
        <v>52</v>
      </c>
      <c r="O154" s="1" t="s">
        <v>58</v>
      </c>
      <c r="P154" s="1" t="s">
        <v>78</v>
      </c>
      <c r="Q154" s="1" t="s">
        <v>82</v>
      </c>
      <c r="R154">
        <f>+G154/B2</f>
        <v>145851053318.70755</v>
      </c>
    </row>
    <row r="155" spans="9:17" ht="18.75">
      <c r="I155" s="17" t="s">
        <v>39</v>
      </c>
      <c r="J155">
        <v>1.65</v>
      </c>
      <c r="K155">
        <f>+J155*A2*B2</f>
        <v>1550923005.6936</v>
      </c>
      <c r="L155" s="17">
        <f>+K155/M155</f>
        <v>24.308049263511357</v>
      </c>
      <c r="M155">
        <f>+N155*C2</f>
        <v>63802857.599999994</v>
      </c>
      <c r="N155">
        <v>738.459</v>
      </c>
      <c r="O155">
        <f>+N155/D2</f>
        <v>2.021790554414784</v>
      </c>
      <c r="P155">
        <f>+F2/2.81</f>
        <v>6.758007117437722E+26</v>
      </c>
      <c r="Q155" s="17">
        <f>+P155/H2</f>
        <v>283949878.8839379</v>
      </c>
    </row>
    <row r="156" spans="9:18" ht="18.75">
      <c r="I156" s="17" t="s">
        <v>40</v>
      </c>
      <c r="J156" s="17">
        <f>+K156/A2/B2</f>
        <v>2.5528739688285205</v>
      </c>
      <c r="K156">
        <f>+K154*1000</f>
        <v>2399582405.389381</v>
      </c>
      <c r="L156" s="17">
        <f>SQRT(R156)</f>
        <v>19.542377238074007</v>
      </c>
      <c r="M156">
        <f>+K156/L156</f>
        <v>122788664.6622666</v>
      </c>
      <c r="N156">
        <f>+M156/C2</f>
        <v>1421.1651002577153</v>
      </c>
      <c r="O156" s="3">
        <f>+N156/D2</f>
        <v>3.8909379883852573</v>
      </c>
      <c r="P156" s="1" t="s">
        <v>88</v>
      </c>
      <c r="Q156" s="1" t="s">
        <v>59</v>
      </c>
      <c r="R156">
        <f>+G154/K156</f>
        <v>381.90450811519304</v>
      </c>
    </row>
    <row r="157" spans="1:18" ht="18.75">
      <c r="A157" s="9" t="s">
        <v>11</v>
      </c>
      <c r="B157" s="9" t="s">
        <v>12</v>
      </c>
      <c r="C157" s="9" t="s">
        <v>13</v>
      </c>
      <c r="D157" s="9" t="s">
        <v>14</v>
      </c>
      <c r="E157" s="9" t="s">
        <v>15</v>
      </c>
      <c r="F157" s="9" t="s">
        <v>16</v>
      </c>
      <c r="G157" s="9" t="s">
        <v>17</v>
      </c>
      <c r="H157" s="9" t="s">
        <v>18</v>
      </c>
      <c r="I157" s="14" t="s">
        <v>19</v>
      </c>
      <c r="J157" s="14" t="s">
        <v>46</v>
      </c>
      <c r="K157" s="14" t="s">
        <v>20</v>
      </c>
      <c r="L157" s="14" t="s">
        <v>21</v>
      </c>
      <c r="M157" s="14" t="s">
        <v>22</v>
      </c>
      <c r="N157" s="14" t="s">
        <v>23</v>
      </c>
      <c r="O157" s="14" t="s">
        <v>24</v>
      </c>
      <c r="P157" s="14" t="s">
        <v>25</v>
      </c>
      <c r="Q157" s="14" t="s">
        <v>26</v>
      </c>
      <c r="R157" s="13" t="s">
        <v>27</v>
      </c>
    </row>
    <row r="158" spans="1:18" ht="18.75">
      <c r="A158" s="11"/>
      <c r="B158" s="12"/>
      <c r="C158" s="11" t="s">
        <v>28</v>
      </c>
      <c r="D158" s="12" t="s">
        <v>29</v>
      </c>
      <c r="E158" s="12"/>
      <c r="F158" s="11" t="s">
        <v>30</v>
      </c>
      <c r="G158" s="11" t="s">
        <v>31</v>
      </c>
      <c r="H158" s="11" t="s">
        <v>32</v>
      </c>
      <c r="I158" s="14" t="s">
        <v>33</v>
      </c>
      <c r="J158" s="10" t="s">
        <v>35</v>
      </c>
      <c r="K158" s="14" t="s">
        <v>31</v>
      </c>
      <c r="L158" s="14" t="s">
        <v>34</v>
      </c>
      <c r="M158" s="15"/>
      <c r="N158" s="10" t="s">
        <v>35</v>
      </c>
      <c r="O158" s="15"/>
      <c r="P158" s="10" t="s">
        <v>35</v>
      </c>
      <c r="Q158" s="15"/>
      <c r="R158" s="1"/>
    </row>
    <row r="159" spans="1:18" ht="18.75">
      <c r="A159" s="17" t="s">
        <v>153</v>
      </c>
      <c r="B159" s="17" t="s">
        <v>127</v>
      </c>
      <c r="C159" s="17">
        <v>170</v>
      </c>
      <c r="D159" s="17">
        <f>+G159*H2</f>
        <v>2.1950284792927846E+30</v>
      </c>
      <c r="E159" s="17">
        <f>+D159/E2</f>
        <v>1.1035839513789767</v>
      </c>
      <c r="F159" s="17">
        <f>+H2/(G159*L159)</f>
        <v>6.735542729319348</v>
      </c>
      <c r="G159" s="17">
        <f>+K160*L160*L160</f>
        <v>922280873652.4305</v>
      </c>
      <c r="H159" s="17">
        <f>+G159/A2/B2</f>
        <v>981.1985739717305</v>
      </c>
      <c r="I159" s="17" t="s">
        <v>38</v>
      </c>
      <c r="J159" s="1" t="s">
        <v>154</v>
      </c>
      <c r="K159">
        <f>+L159*B2</f>
        <v>2407254.6988910316</v>
      </c>
      <c r="L159" s="17">
        <f>SQRT(R159)</f>
        <v>383125.588695415</v>
      </c>
      <c r="M159" s="1" t="s">
        <v>78</v>
      </c>
      <c r="N159" s="1" t="s">
        <v>78</v>
      </c>
      <c r="O159" s="1" t="s">
        <v>60</v>
      </c>
      <c r="P159" s="1" t="s">
        <v>78</v>
      </c>
      <c r="Q159" s="1" t="s">
        <v>82</v>
      </c>
      <c r="R159">
        <f>+G159/B2</f>
        <v>146785216713.2083</v>
      </c>
    </row>
    <row r="160" spans="9:17" ht="18.75">
      <c r="I160" s="17" t="s">
        <v>39</v>
      </c>
      <c r="J160">
        <v>2.72</v>
      </c>
      <c r="K160">
        <f>+J160*A2*B2</f>
        <v>2556673076.05248</v>
      </c>
      <c r="L160" s="17">
        <f>+K160/M160</f>
        <v>18.99301897652261</v>
      </c>
      <c r="M160">
        <f>+N160*C2</f>
        <v>134611200</v>
      </c>
      <c r="N160">
        <v>1558</v>
      </c>
      <c r="O160">
        <f>+N160/D2</f>
        <v>4.265571526351814</v>
      </c>
      <c r="P160">
        <f>+F2/7.19</f>
        <v>2.6411682892906815E+26</v>
      </c>
      <c r="Q160" s="17">
        <f>+P160/H2</f>
        <v>110973457.53322192</v>
      </c>
    </row>
    <row r="161" spans="9:18" ht="18.75">
      <c r="I161" s="17" t="s">
        <v>40</v>
      </c>
      <c r="J161" s="17">
        <f>+K161/A2/B2</f>
        <v>2.561036388388518</v>
      </c>
      <c r="K161">
        <f>+K159*1000</f>
        <v>2407254698.8910317</v>
      </c>
      <c r="L161" s="17">
        <f>SQRT(R161)</f>
        <v>19.57359416906908</v>
      </c>
      <c r="M161">
        <f>+K161/L161</f>
        <v>122984806.88309483</v>
      </c>
      <c r="N161">
        <f>+M161/C2</f>
        <v>1423.4352648506347</v>
      </c>
      <c r="O161" s="3">
        <f>+N161/D2</f>
        <v>3.897153360302901</v>
      </c>
      <c r="P161" s="1" t="s">
        <v>71</v>
      </c>
      <c r="Q161" s="1" t="s">
        <v>88</v>
      </c>
      <c r="R161">
        <f>+G159/K161</f>
        <v>383.125588695415</v>
      </c>
    </row>
    <row r="162" spans="1:18" ht="18.75">
      <c r="A162" s="9" t="s">
        <v>11</v>
      </c>
      <c r="B162" s="9" t="s">
        <v>12</v>
      </c>
      <c r="C162" s="9" t="s">
        <v>13</v>
      </c>
      <c r="D162" s="9" t="s">
        <v>14</v>
      </c>
      <c r="E162" s="9" t="s">
        <v>15</v>
      </c>
      <c r="F162" s="9" t="s">
        <v>16</v>
      </c>
      <c r="G162" s="9" t="s">
        <v>17</v>
      </c>
      <c r="H162" s="9" t="s">
        <v>18</v>
      </c>
      <c r="I162" s="14" t="s">
        <v>19</v>
      </c>
      <c r="J162" s="14" t="s">
        <v>46</v>
      </c>
      <c r="K162" s="14" t="s">
        <v>20</v>
      </c>
      <c r="L162" s="14" t="s">
        <v>21</v>
      </c>
      <c r="M162" s="14" t="s">
        <v>22</v>
      </c>
      <c r="N162" s="14" t="s">
        <v>23</v>
      </c>
      <c r="O162" s="14" t="s">
        <v>24</v>
      </c>
      <c r="P162" s="14" t="s">
        <v>25</v>
      </c>
      <c r="Q162" s="14" t="s">
        <v>26</v>
      </c>
      <c r="R162" s="13" t="s">
        <v>27</v>
      </c>
    </row>
    <row r="163" spans="1:18" ht="18.75">
      <c r="A163" s="11" t="s">
        <v>142</v>
      </c>
      <c r="B163" s="12"/>
      <c r="C163" s="11" t="s">
        <v>28</v>
      </c>
      <c r="D163" s="12" t="s">
        <v>29</v>
      </c>
      <c r="E163" s="12"/>
      <c r="F163" s="11" t="s">
        <v>30</v>
      </c>
      <c r="G163" s="11" t="s">
        <v>31</v>
      </c>
      <c r="H163" s="11" t="s">
        <v>32</v>
      </c>
      <c r="I163" s="14" t="s">
        <v>33</v>
      </c>
      <c r="J163" s="10" t="s">
        <v>35</v>
      </c>
      <c r="K163" s="14" t="s">
        <v>31</v>
      </c>
      <c r="L163" s="14" t="s">
        <v>34</v>
      </c>
      <c r="M163" s="15"/>
      <c r="N163" s="10" t="s">
        <v>35</v>
      </c>
      <c r="O163" s="15"/>
      <c r="P163" s="10" t="s">
        <v>35</v>
      </c>
      <c r="Q163" s="15"/>
      <c r="R163" s="1"/>
    </row>
    <row r="164" spans="1:18" ht="18.75">
      <c r="A164" s="17" t="s">
        <v>155</v>
      </c>
      <c r="B164" s="17" t="s">
        <v>150</v>
      </c>
      <c r="C164" s="17">
        <v>59.455</v>
      </c>
      <c r="D164" s="17">
        <f>+G164*H2</f>
        <v>2.9662964356836906E+30</v>
      </c>
      <c r="E164" s="17">
        <f>+D164/E2</f>
        <v>1.491350646397029</v>
      </c>
      <c r="F164" s="17">
        <f>+H2/(G164*L164)</f>
        <v>4.287567889475936</v>
      </c>
      <c r="G164" s="17">
        <f>+K165*L165*L165</f>
        <v>1246343040203.2314</v>
      </c>
      <c r="H164" s="17">
        <f>+G164/A2/B2</f>
        <v>1325.9626743467154</v>
      </c>
      <c r="I164" s="17" t="s">
        <v>38</v>
      </c>
      <c r="J164" s="1" t="s">
        <v>110</v>
      </c>
      <c r="K164" s="1">
        <f>+L164*B2</f>
        <v>2798396.4319239943</v>
      </c>
      <c r="L164" s="17">
        <f>SQRT(R164)</f>
        <v>445377.58338489855</v>
      </c>
      <c r="M164" s="1" t="s">
        <v>76</v>
      </c>
      <c r="N164" s="1" t="s">
        <v>47</v>
      </c>
      <c r="O164" s="1" t="s">
        <v>66</v>
      </c>
      <c r="P164" s="1" t="s">
        <v>66</v>
      </c>
      <c r="Q164" s="1" t="s">
        <v>43</v>
      </c>
      <c r="R164">
        <f>+G164/B2</f>
        <v>198361191781.77225</v>
      </c>
    </row>
    <row r="165" spans="1:17" ht="18.75">
      <c r="A165" s="17" t="s">
        <v>156</v>
      </c>
      <c r="I165" s="17" t="s">
        <v>39</v>
      </c>
      <c r="J165">
        <v>1.271</v>
      </c>
      <c r="K165">
        <f>+J165*A2*B2</f>
        <v>1194680691.0524638</v>
      </c>
      <c r="L165" s="17">
        <f>+K165/M165</f>
        <v>32.29928244126891</v>
      </c>
      <c r="M165">
        <f>+N165*C2</f>
        <v>36987840</v>
      </c>
      <c r="N165">
        <v>428.1</v>
      </c>
      <c r="O165">
        <f>+N165/D2</f>
        <v>1.1720739219712526</v>
      </c>
      <c r="P165">
        <f>+F2/1.56</f>
        <v>1.2173076923076923E+27</v>
      </c>
      <c r="Q165" s="17">
        <f>+P165/H2</f>
        <v>511473820.2973497</v>
      </c>
    </row>
    <row r="166" spans="1:18" ht="18.75">
      <c r="A166" s="17"/>
      <c r="I166" s="17" t="s">
        <v>40</v>
      </c>
      <c r="J166" s="17">
        <f>+K166/A2/B2</f>
        <v>2.9771652723725177</v>
      </c>
      <c r="K166">
        <f>+K164*1000</f>
        <v>2798396431.9239945</v>
      </c>
      <c r="L166" s="17">
        <f>SQRT(R166)</f>
        <v>21.103970796627316</v>
      </c>
      <c r="M166">
        <f>+K166/L166</f>
        <v>132600469.30936874</v>
      </c>
      <c r="N166">
        <f>+M166/C2</f>
        <v>1534.7276540436196</v>
      </c>
      <c r="O166" s="3">
        <f>+N166/D2</f>
        <v>4.2018553156567275</v>
      </c>
      <c r="P166" s="1" t="s">
        <v>116</v>
      </c>
      <c r="Q166" s="1" t="s">
        <v>78</v>
      </c>
      <c r="R166">
        <f>+G164/K166</f>
        <v>445.37758338489857</v>
      </c>
    </row>
    <row r="167" spans="8:18" ht="18.75">
      <c r="H167" s="18" t="s">
        <v>11</v>
      </c>
      <c r="I167" s="17" t="s">
        <v>119</v>
      </c>
      <c r="J167">
        <v>251</v>
      </c>
      <c r="K167">
        <f>+J167*A2*B2</f>
        <v>235928287532.784</v>
      </c>
      <c r="L167" s="17">
        <f>SQRT(R167)</f>
        <v>2.2984168068725923</v>
      </c>
      <c r="M167">
        <f>+K167/L167</f>
        <v>102648173659.07043</v>
      </c>
      <c r="N167">
        <f>+M167/C2</f>
        <v>1188057.5654985004</v>
      </c>
      <c r="O167" s="17">
        <f>+N167/D2</f>
        <v>3252.724340858317</v>
      </c>
      <c r="P167" s="17">
        <f>+E2*0.6</f>
        <v>1.1933999999999999E+30</v>
      </c>
      <c r="Q167" s="17">
        <f>+P167/H2</f>
        <v>501428571428.5714</v>
      </c>
      <c r="R167">
        <f>+G164/K167</f>
        <v>5.282719818114404</v>
      </c>
    </row>
    <row r="168" spans="1:18" ht="18.75">
      <c r="A168" s="9" t="s">
        <v>11</v>
      </c>
      <c r="B168" s="9" t="s">
        <v>12</v>
      </c>
      <c r="C168" s="9" t="s">
        <v>13</v>
      </c>
      <c r="D168" s="9" t="s">
        <v>14</v>
      </c>
      <c r="E168" s="9" t="s">
        <v>15</v>
      </c>
      <c r="F168" s="9" t="s">
        <v>16</v>
      </c>
      <c r="G168" s="9" t="s">
        <v>17</v>
      </c>
      <c r="H168" s="9" t="s">
        <v>18</v>
      </c>
      <c r="I168" s="14" t="s">
        <v>19</v>
      </c>
      <c r="J168" s="14" t="s">
        <v>46</v>
      </c>
      <c r="K168" s="14" t="s">
        <v>20</v>
      </c>
      <c r="L168" s="14" t="s">
        <v>21</v>
      </c>
      <c r="M168" s="14" t="s">
        <v>22</v>
      </c>
      <c r="N168" s="14" t="s">
        <v>23</v>
      </c>
      <c r="O168" s="14" t="s">
        <v>24</v>
      </c>
      <c r="P168" s="14" t="s">
        <v>25</v>
      </c>
      <c r="Q168" s="14" t="s">
        <v>26</v>
      </c>
      <c r="R168" s="13" t="s">
        <v>27</v>
      </c>
    </row>
    <row r="169" spans="1:18" ht="18.75">
      <c r="A169" s="11"/>
      <c r="B169" s="12"/>
      <c r="C169" s="11" t="s">
        <v>28</v>
      </c>
      <c r="D169" s="12" t="s">
        <v>29</v>
      </c>
      <c r="E169" s="12"/>
      <c r="F169" s="11" t="s">
        <v>30</v>
      </c>
      <c r="G169" s="11" t="s">
        <v>31</v>
      </c>
      <c r="H169" s="11" t="s">
        <v>32</v>
      </c>
      <c r="I169" s="14" t="s">
        <v>33</v>
      </c>
      <c r="J169" s="10" t="s">
        <v>35</v>
      </c>
      <c r="K169" s="14" t="s">
        <v>31</v>
      </c>
      <c r="L169" s="14" t="s">
        <v>34</v>
      </c>
      <c r="M169" s="15"/>
      <c r="N169" s="10" t="s">
        <v>35</v>
      </c>
      <c r="O169" s="15"/>
      <c r="P169" s="10" t="s">
        <v>35</v>
      </c>
      <c r="Q169" s="15"/>
      <c r="R169" s="1"/>
    </row>
    <row r="170" spans="1:18" ht="18.75">
      <c r="A170" s="17" t="s">
        <v>157</v>
      </c>
      <c r="B170" s="17" t="s">
        <v>150</v>
      </c>
      <c r="C170" s="17">
        <v>138.1</v>
      </c>
      <c r="D170" s="17">
        <f>+G170*H2</f>
        <v>1.5057265710856912E+30</v>
      </c>
      <c r="E170" s="17">
        <f>+D170/E2</f>
        <v>0.757026933678075</v>
      </c>
      <c r="F170" s="17">
        <f>+H2/(G170*L170)</f>
        <v>11.855330431045806</v>
      </c>
      <c r="G170" s="17">
        <f>+K171*L171*L171</f>
        <v>632658223145.2484</v>
      </c>
      <c r="H170" s="17">
        <f>+G170/A2/B2</f>
        <v>673.0740754746981</v>
      </c>
      <c r="I170" s="17" t="s">
        <v>38</v>
      </c>
      <c r="J170" s="1" t="s">
        <v>104</v>
      </c>
      <c r="K170">
        <f>+L170*B2</f>
        <v>1993769.8331718796</v>
      </c>
      <c r="L170" s="17">
        <f>SQRT(R170)</f>
        <v>317317.5823102686</v>
      </c>
      <c r="M170" s="1" t="s">
        <v>76</v>
      </c>
      <c r="N170" s="1" t="s">
        <v>43</v>
      </c>
      <c r="O170" s="1" t="s">
        <v>51</v>
      </c>
      <c r="P170" s="1" t="s">
        <v>82</v>
      </c>
      <c r="Q170" s="1" t="s">
        <v>116</v>
      </c>
      <c r="R170">
        <f>+G170/B2</f>
        <v>100690448043.23409</v>
      </c>
    </row>
    <row r="171" spans="9:17" ht="18.75">
      <c r="I171" s="17" t="s">
        <v>39</v>
      </c>
      <c r="J171">
        <v>0.1221</v>
      </c>
      <c r="K171">
        <f>+J171*A2*B2</f>
        <v>114768302.4213264</v>
      </c>
      <c r="L171" s="17">
        <f>+K171/M171</f>
        <v>74.24609208988691</v>
      </c>
      <c r="M171">
        <f>+N171*C2</f>
        <v>1545782.4</v>
      </c>
      <c r="N171">
        <v>17.891</v>
      </c>
      <c r="O171">
        <f>+N171/D2</f>
        <v>0.04898288843258042</v>
      </c>
      <c r="P171">
        <f>+F2*0.618</f>
        <v>1.173582E+27</v>
      </c>
      <c r="Q171" s="17">
        <f>+P171/H2</f>
        <v>493101680.67226887</v>
      </c>
    </row>
    <row r="172" spans="9:18" ht="18.75">
      <c r="I172" s="17" t="s">
        <v>40</v>
      </c>
      <c r="J172" s="17">
        <f>+K172/A2/B2</f>
        <v>2.1211370343058267</v>
      </c>
      <c r="K172">
        <f>+K170*1000</f>
        <v>1993769833.1718795</v>
      </c>
      <c r="L172" s="17">
        <f>SQRT(R172)</f>
        <v>17.813410181946313</v>
      </c>
      <c r="M172">
        <f>+K172/L172</f>
        <v>111925218.85520507</v>
      </c>
      <c r="N172">
        <f>+M172/C2</f>
        <v>1295.4307737870959</v>
      </c>
      <c r="O172" s="3">
        <f>+N172/D2</f>
        <v>3.5466961636881473</v>
      </c>
      <c r="P172" s="1" t="s">
        <v>82</v>
      </c>
      <c r="Q172" s="1" t="s">
        <v>125</v>
      </c>
      <c r="R172">
        <f>+G170/K172</f>
        <v>317.3175823102686</v>
      </c>
    </row>
    <row r="173" spans="1:18" ht="18.75">
      <c r="A173" s="9" t="s">
        <v>11</v>
      </c>
      <c r="B173" s="9" t="s">
        <v>12</v>
      </c>
      <c r="C173" s="9" t="s">
        <v>13</v>
      </c>
      <c r="D173" s="9" t="s">
        <v>14</v>
      </c>
      <c r="E173" s="9" t="s">
        <v>15</v>
      </c>
      <c r="F173" s="9" t="s">
        <v>16</v>
      </c>
      <c r="G173" s="9" t="s">
        <v>17</v>
      </c>
      <c r="H173" s="9" t="s">
        <v>18</v>
      </c>
      <c r="I173" s="14" t="s">
        <v>19</v>
      </c>
      <c r="J173" s="14" t="s">
        <v>46</v>
      </c>
      <c r="K173" s="14" t="s">
        <v>20</v>
      </c>
      <c r="L173" s="14" t="s">
        <v>21</v>
      </c>
      <c r="M173" s="14" t="s">
        <v>22</v>
      </c>
      <c r="N173" s="14" t="s">
        <v>23</v>
      </c>
      <c r="O173" s="14" t="s">
        <v>24</v>
      </c>
      <c r="P173" s="14" t="s">
        <v>25</v>
      </c>
      <c r="Q173" s="14" t="s">
        <v>26</v>
      </c>
      <c r="R173" s="13" t="s">
        <v>27</v>
      </c>
    </row>
    <row r="174" spans="1:18" ht="18.75">
      <c r="A174" s="11"/>
      <c r="B174" s="12"/>
      <c r="C174" s="11" t="s">
        <v>28</v>
      </c>
      <c r="D174" s="12" t="s">
        <v>29</v>
      </c>
      <c r="E174" s="12"/>
      <c r="F174" s="11" t="s">
        <v>30</v>
      </c>
      <c r="G174" s="11" t="s">
        <v>31</v>
      </c>
      <c r="H174" s="11" t="s">
        <v>32</v>
      </c>
      <c r="I174" s="14" t="s">
        <v>33</v>
      </c>
      <c r="J174" s="10" t="s">
        <v>35</v>
      </c>
      <c r="K174" s="14" t="s">
        <v>31</v>
      </c>
      <c r="L174" s="14" t="s">
        <v>34</v>
      </c>
      <c r="M174" s="15"/>
      <c r="N174" s="10" t="s">
        <v>35</v>
      </c>
      <c r="O174" s="15"/>
      <c r="P174" s="10" t="s">
        <v>35</v>
      </c>
      <c r="Q174" s="15"/>
      <c r="R174" s="1"/>
    </row>
    <row r="175" spans="1:18" ht="18.75">
      <c r="A175" s="20" t="s">
        <v>158</v>
      </c>
      <c r="B175" s="17" t="s">
        <v>101</v>
      </c>
      <c r="C175" s="17">
        <v>129</v>
      </c>
      <c r="D175" s="17">
        <f>+G175*H2</f>
        <v>1.9780934360911078E+30</v>
      </c>
      <c r="E175" s="17">
        <f>+D175/E2</f>
        <v>0.9945165591207179</v>
      </c>
      <c r="F175" s="17">
        <f>+H2/(G175*L175)</f>
        <v>7.873405728266638</v>
      </c>
      <c r="G175" s="17">
        <f>+K176*L176*L176</f>
        <v>831131695836.5999</v>
      </c>
      <c r="H175" s="17">
        <f>+G175/A2/B2</f>
        <v>884.2265496713618</v>
      </c>
      <c r="I175" s="17" t="s">
        <v>38</v>
      </c>
      <c r="J175" s="1" t="s">
        <v>50</v>
      </c>
      <c r="K175">
        <f>+L175*B2</f>
        <v>2285206.0456949007</v>
      </c>
      <c r="L175" s="17">
        <f>SQRT(R175)</f>
        <v>363700.98766470916</v>
      </c>
      <c r="M175" s="1" t="s">
        <v>76</v>
      </c>
      <c r="N175" s="1" t="s">
        <v>76</v>
      </c>
      <c r="O175" s="1" t="s">
        <v>66</v>
      </c>
      <c r="P175" s="1" t="s">
        <v>125</v>
      </c>
      <c r="Q175" s="1" t="s">
        <v>137</v>
      </c>
      <c r="R175">
        <f>+G175/B2</f>
        <v>132278408428.28493</v>
      </c>
    </row>
    <row r="176" spans="9:17" ht="18.75">
      <c r="I176" s="20" t="s">
        <v>39</v>
      </c>
      <c r="J176">
        <v>1.031</v>
      </c>
      <c r="K176">
        <f>+J176*A2*B2</f>
        <v>969091890.224304</v>
      </c>
      <c r="L176" s="17">
        <f>+K176/M176</f>
        <v>29.28548648052364</v>
      </c>
      <c r="M176">
        <f>+N176*C2</f>
        <v>33091200</v>
      </c>
      <c r="N176">
        <v>383</v>
      </c>
      <c r="O176">
        <f>+N176/D2</f>
        <v>1.0485968514715949</v>
      </c>
      <c r="P176">
        <f>+F2/5.72</f>
        <v>3.31993006993007E+26</v>
      </c>
      <c r="Q176" s="17">
        <f>+P176/H2</f>
        <v>139492860.08109537</v>
      </c>
    </row>
    <row r="177" spans="9:18" ht="18.75">
      <c r="I177" s="17" t="s">
        <v>40</v>
      </c>
      <c r="J177" s="17">
        <f>+K177/A2/B2</f>
        <v>2.431190949875885</v>
      </c>
      <c r="K177">
        <f>+K175*1000</f>
        <v>2285206045.6949005</v>
      </c>
      <c r="L177" s="17">
        <f>SQRT(R177)</f>
        <v>19.07094616595383</v>
      </c>
      <c r="M177">
        <f>+K177/L177</f>
        <v>119826568.94992112</v>
      </c>
      <c r="N177">
        <f>+M177/C2</f>
        <v>1386.8815850685314</v>
      </c>
      <c r="O177" s="3">
        <f>+N177/D2</f>
        <v>3.797074839338895</v>
      </c>
      <c r="P177" s="1" t="s">
        <v>159</v>
      </c>
      <c r="Q177" s="1" t="s">
        <v>59</v>
      </c>
      <c r="R177">
        <f>+G175/K177</f>
        <v>363.7009876647092</v>
      </c>
    </row>
    <row r="178" spans="1:18" ht="18.75">
      <c r="A178" s="9" t="s">
        <v>11</v>
      </c>
      <c r="B178" s="9" t="s">
        <v>12</v>
      </c>
      <c r="C178" s="9" t="s">
        <v>13</v>
      </c>
      <c r="D178" s="9" t="s">
        <v>14</v>
      </c>
      <c r="E178" s="9" t="s">
        <v>15</v>
      </c>
      <c r="F178" s="9" t="s">
        <v>16</v>
      </c>
      <c r="G178" s="9" t="s">
        <v>17</v>
      </c>
      <c r="H178" s="9" t="s">
        <v>18</v>
      </c>
      <c r="I178" s="14" t="s">
        <v>19</v>
      </c>
      <c r="J178" s="14" t="s">
        <v>46</v>
      </c>
      <c r="K178" s="14" t="s">
        <v>20</v>
      </c>
      <c r="L178" s="14" t="s">
        <v>21</v>
      </c>
      <c r="M178" s="14" t="s">
        <v>22</v>
      </c>
      <c r="N178" s="14" t="s">
        <v>23</v>
      </c>
      <c r="O178" s="14" t="s">
        <v>24</v>
      </c>
      <c r="P178" s="14" t="s">
        <v>25</v>
      </c>
      <c r="Q178" s="14" t="s">
        <v>26</v>
      </c>
      <c r="R178" s="13" t="s">
        <v>27</v>
      </c>
    </row>
    <row r="179" spans="1:18" ht="18.75">
      <c r="A179" s="11"/>
      <c r="B179" s="12"/>
      <c r="C179" s="11" t="s">
        <v>28</v>
      </c>
      <c r="D179" s="12" t="s">
        <v>29</v>
      </c>
      <c r="E179" s="12"/>
      <c r="F179" s="11" t="s">
        <v>30</v>
      </c>
      <c r="G179" s="11" t="s">
        <v>31</v>
      </c>
      <c r="H179" s="11" t="s">
        <v>32</v>
      </c>
      <c r="I179" s="14" t="s">
        <v>33</v>
      </c>
      <c r="J179" s="10" t="s">
        <v>35</v>
      </c>
      <c r="K179" s="14" t="s">
        <v>31</v>
      </c>
      <c r="L179" s="14" t="s">
        <v>34</v>
      </c>
      <c r="M179" s="15"/>
      <c r="N179" s="10" t="s">
        <v>35</v>
      </c>
      <c r="O179" s="15"/>
      <c r="P179" s="10" t="s">
        <v>35</v>
      </c>
      <c r="Q179" s="15"/>
      <c r="R179" s="1"/>
    </row>
    <row r="180" spans="1:18" ht="18.75">
      <c r="A180" s="17" t="s">
        <v>160</v>
      </c>
      <c r="B180" s="17" t="s">
        <v>161</v>
      </c>
      <c r="C180" s="17">
        <v>155</v>
      </c>
      <c r="D180" s="17">
        <f>+G180*H2</f>
        <v>4.5682281719299675E+30</v>
      </c>
      <c r="E180" s="17">
        <f>+D180/E2</f>
        <v>2.296746190010039</v>
      </c>
      <c r="F180" s="17">
        <f>+H2/(G180*L180)</f>
        <v>2.2434229223539814</v>
      </c>
      <c r="G180" s="17">
        <f>+K181*L181*L181</f>
        <v>1919423601651.2468</v>
      </c>
      <c r="H180" s="17">
        <f>+G180/A2/B2</f>
        <v>2042.0413722009348</v>
      </c>
      <c r="I180" s="17" t="s">
        <v>38</v>
      </c>
      <c r="J180" s="1" t="s">
        <v>163</v>
      </c>
      <c r="K180">
        <f>+L180*B2</f>
        <v>3472768.689949723</v>
      </c>
      <c r="L180" s="17">
        <f>SQRT(R180)</f>
        <v>552707.0107508472</v>
      </c>
      <c r="M180" s="1" t="s">
        <v>76</v>
      </c>
      <c r="N180" s="1" t="s">
        <v>51</v>
      </c>
      <c r="O180" s="1" t="s">
        <v>51</v>
      </c>
      <c r="P180" s="1" t="s">
        <v>137</v>
      </c>
      <c r="Q180" s="1" t="s">
        <v>51</v>
      </c>
      <c r="R180">
        <f>+G180/B2</f>
        <v>305485039733.1371</v>
      </c>
    </row>
    <row r="181" spans="1:17" ht="18.75">
      <c r="A181" s="17" t="s">
        <v>162</v>
      </c>
      <c r="I181" s="17" t="s">
        <v>39</v>
      </c>
      <c r="J181">
        <v>1.93</v>
      </c>
      <c r="K181">
        <f>+J181*A2*B2</f>
        <v>1814109939.9931197</v>
      </c>
      <c r="L181" s="17">
        <f>+K181/M181</f>
        <v>32.527719324546</v>
      </c>
      <c r="M181">
        <f>+N181*C2</f>
        <v>55771200</v>
      </c>
      <c r="N181">
        <v>645.5</v>
      </c>
      <c r="O181">
        <f>+N181/D2</f>
        <v>1.7672826830937713</v>
      </c>
      <c r="P181">
        <f>+F2/7.6</f>
        <v>2.4986842105263158E+26</v>
      </c>
      <c r="Q181" s="17">
        <f>+P181/H2</f>
        <v>104986731.53471915</v>
      </c>
    </row>
    <row r="182" spans="9:18" ht="18.75">
      <c r="I182" s="17" t="s">
        <v>40</v>
      </c>
      <c r="J182" s="17">
        <f>+K182/A2/B2</f>
        <v>3.6946181837404986</v>
      </c>
      <c r="K182">
        <f>+K180*1000</f>
        <v>3472768689.949723</v>
      </c>
      <c r="L182" s="17">
        <f>SQRT(R182)</f>
        <v>23.509721622147023</v>
      </c>
      <c r="M182">
        <f>+K182/L182</f>
        <v>147716282.89627415</v>
      </c>
      <c r="N182">
        <f>+M182/C2</f>
        <v>1709.6792001883582</v>
      </c>
      <c r="O182" s="3">
        <f>+N182/D2</f>
        <v>4.680846543979078</v>
      </c>
      <c r="P182" s="1" t="s">
        <v>76</v>
      </c>
      <c r="Q182" s="1" t="s">
        <v>44</v>
      </c>
      <c r="R182">
        <f>+G180/K182</f>
        <v>552.7070107508472</v>
      </c>
    </row>
    <row r="183" spans="1:18" ht="18.75">
      <c r="A183" s="9" t="s">
        <v>11</v>
      </c>
      <c r="B183" s="9" t="s">
        <v>12</v>
      </c>
      <c r="C183" s="9" t="s">
        <v>13</v>
      </c>
      <c r="D183" s="9" t="s">
        <v>14</v>
      </c>
      <c r="E183" s="9" t="s">
        <v>15</v>
      </c>
      <c r="F183" s="9" t="s">
        <v>16</v>
      </c>
      <c r="G183" s="9" t="s">
        <v>17</v>
      </c>
      <c r="H183" s="9" t="s">
        <v>18</v>
      </c>
      <c r="I183" s="14" t="s">
        <v>19</v>
      </c>
      <c r="J183" s="14" t="s">
        <v>46</v>
      </c>
      <c r="K183" s="14" t="s">
        <v>20</v>
      </c>
      <c r="L183" s="14" t="s">
        <v>21</v>
      </c>
      <c r="M183" s="14" t="s">
        <v>22</v>
      </c>
      <c r="N183" s="14" t="s">
        <v>23</v>
      </c>
      <c r="O183" s="14" t="s">
        <v>24</v>
      </c>
      <c r="P183" s="14" t="s">
        <v>25</v>
      </c>
      <c r="Q183" s="14" t="s">
        <v>26</v>
      </c>
      <c r="R183" s="13" t="s">
        <v>27</v>
      </c>
    </row>
    <row r="184" spans="1:18" ht="18.75">
      <c r="A184" s="11"/>
      <c r="B184" s="12"/>
      <c r="C184" s="11" t="s">
        <v>28</v>
      </c>
      <c r="D184" s="12" t="s">
        <v>29</v>
      </c>
      <c r="E184" s="12"/>
      <c r="F184" s="11" t="s">
        <v>30</v>
      </c>
      <c r="G184" s="11" t="s">
        <v>31</v>
      </c>
      <c r="H184" s="11" t="s">
        <v>32</v>
      </c>
      <c r="I184" s="14" t="s">
        <v>33</v>
      </c>
      <c r="J184" s="10" t="s">
        <v>35</v>
      </c>
      <c r="K184" s="14" t="s">
        <v>31</v>
      </c>
      <c r="L184" s="14" t="s">
        <v>34</v>
      </c>
      <c r="M184" s="15"/>
      <c r="N184" s="10" t="s">
        <v>35</v>
      </c>
      <c r="O184" s="15"/>
      <c r="P184" s="10" t="s">
        <v>35</v>
      </c>
      <c r="Q184" s="15"/>
      <c r="R184" s="1"/>
    </row>
    <row r="185" spans="1:18" ht="18.75">
      <c r="A185" s="17" t="s">
        <v>164</v>
      </c>
      <c r="B185" s="17" t="s">
        <v>165</v>
      </c>
      <c r="C185" s="17">
        <v>179</v>
      </c>
      <c r="D185" s="17">
        <f>+G185*H2</f>
        <v>1.915308029657613E+30</v>
      </c>
      <c r="E185" s="17">
        <f>+D185/E2</f>
        <v>0.9629502411551599</v>
      </c>
      <c r="F185" s="17">
        <f>+H2/(G185*L185)</f>
        <v>8.263706623055318</v>
      </c>
      <c r="G185" s="17">
        <f>+K186*L186*L186</f>
        <v>804751272965.3835</v>
      </c>
      <c r="H185" s="17">
        <f>+G185/A2/B2</f>
        <v>856.160876792881</v>
      </c>
      <c r="I185" s="17" t="s">
        <v>38</v>
      </c>
      <c r="J185" s="1" t="s">
        <v>166</v>
      </c>
      <c r="K185">
        <f>+L185*B2</f>
        <v>2248646.970579441</v>
      </c>
      <c r="L185" s="17">
        <f>SQRT(R185)</f>
        <v>357882.4437515026</v>
      </c>
      <c r="M185" s="1" t="s">
        <v>51</v>
      </c>
      <c r="N185" s="1" t="s">
        <v>76</v>
      </c>
      <c r="O185" s="1" t="s">
        <v>47</v>
      </c>
      <c r="P185" s="1" t="s">
        <v>60</v>
      </c>
      <c r="Q185" s="1" t="s">
        <v>58</v>
      </c>
      <c r="R185">
        <f>+G185/B2</f>
        <v>128079843545.54742</v>
      </c>
    </row>
    <row r="186" spans="9:17" ht="18.75">
      <c r="I186" s="17" t="s">
        <v>39</v>
      </c>
      <c r="J186">
        <v>3.86</v>
      </c>
      <c r="K186">
        <f>+J186*A2*B2</f>
        <v>3628219879.9862394</v>
      </c>
      <c r="L186" s="17">
        <f>+K186/M186</f>
        <v>14.89306335032202</v>
      </c>
      <c r="M186">
        <f>+N186*C2</f>
        <v>243618105.6</v>
      </c>
      <c r="N186">
        <v>2819.654</v>
      </c>
      <c r="O186">
        <f>+N186/D2</f>
        <v>7.719791923340178</v>
      </c>
      <c r="P186">
        <f>+F2/9.17</f>
        <v>2.0708833151581243E+26</v>
      </c>
      <c r="Q186" s="17">
        <f>+P186/H2</f>
        <v>87011903.99824052</v>
      </c>
    </row>
    <row r="187" spans="9:18" ht="18.75">
      <c r="I187" s="17" t="s">
        <v>40</v>
      </c>
      <c r="J187" s="17">
        <f>+K187/A2/B2</f>
        <v>2.392296385981315</v>
      </c>
      <c r="K187">
        <f>+K185*1000</f>
        <v>2248646970.579441</v>
      </c>
      <c r="L187" s="17">
        <f>SQRT(R187)</f>
        <v>18.917781152965656</v>
      </c>
      <c r="M187">
        <f>+K187/L187</f>
        <v>118864202.54031381</v>
      </c>
      <c r="N187">
        <f>+M187/C2</f>
        <v>1375.7430849573357</v>
      </c>
      <c r="O187" s="3">
        <f>+N187/D2</f>
        <v>3.766579288041987</v>
      </c>
      <c r="P187" s="1" t="s">
        <v>129</v>
      </c>
      <c r="Q187" s="1" t="s">
        <v>48</v>
      </c>
      <c r="R187">
        <f>+G185/K187</f>
        <v>357.8824437515026</v>
      </c>
    </row>
    <row r="188" spans="1:18" ht="18.75">
      <c r="A188" s="9" t="s">
        <v>11</v>
      </c>
      <c r="B188" s="9" t="s">
        <v>12</v>
      </c>
      <c r="C188" s="9" t="s">
        <v>13</v>
      </c>
      <c r="D188" s="9" t="s">
        <v>14</v>
      </c>
      <c r="E188" s="9" t="s">
        <v>15</v>
      </c>
      <c r="F188" s="9" t="s">
        <v>16</v>
      </c>
      <c r="G188" s="9" t="s">
        <v>17</v>
      </c>
      <c r="H188" s="9" t="s">
        <v>18</v>
      </c>
      <c r="I188" s="14" t="s">
        <v>19</v>
      </c>
      <c r="J188" s="14" t="s">
        <v>46</v>
      </c>
      <c r="K188" s="14" t="s">
        <v>20</v>
      </c>
      <c r="L188" s="14" t="s">
        <v>21</v>
      </c>
      <c r="M188" s="14" t="s">
        <v>22</v>
      </c>
      <c r="N188" s="14" t="s">
        <v>23</v>
      </c>
      <c r="O188" s="14" t="s">
        <v>24</v>
      </c>
      <c r="P188" s="14" t="s">
        <v>25</v>
      </c>
      <c r="Q188" s="14" t="s">
        <v>26</v>
      </c>
      <c r="R188" s="13" t="s">
        <v>27</v>
      </c>
    </row>
    <row r="189" spans="1:18" ht="18.75">
      <c r="A189" s="11"/>
      <c r="B189" s="12"/>
      <c r="C189" s="11" t="s">
        <v>28</v>
      </c>
      <c r="D189" s="12" t="s">
        <v>29</v>
      </c>
      <c r="E189" s="12"/>
      <c r="F189" s="11" t="s">
        <v>30</v>
      </c>
      <c r="G189" s="11" t="s">
        <v>31</v>
      </c>
      <c r="H189" s="11" t="s">
        <v>32</v>
      </c>
      <c r="I189" s="14" t="s">
        <v>33</v>
      </c>
      <c r="J189" s="10" t="s">
        <v>35</v>
      </c>
      <c r="K189" s="14" t="s">
        <v>31</v>
      </c>
      <c r="L189" s="14" t="s">
        <v>34</v>
      </c>
      <c r="M189" s="15"/>
      <c r="N189" s="10" t="s">
        <v>35</v>
      </c>
      <c r="O189" s="15"/>
      <c r="P189" s="10" t="s">
        <v>35</v>
      </c>
      <c r="Q189" s="15"/>
      <c r="R189" s="1"/>
    </row>
    <row r="190" spans="1:18" ht="18.75">
      <c r="A190" s="17" t="s">
        <v>167</v>
      </c>
      <c r="B190" s="17" t="s">
        <v>161</v>
      </c>
      <c r="C190" s="17">
        <v>30.7</v>
      </c>
      <c r="D190" s="17">
        <f>+G190*H2</f>
        <v>9.708678499807549E+29</v>
      </c>
      <c r="E190" s="17">
        <f>+D190/E2</f>
        <v>0.4881185771647838</v>
      </c>
      <c r="F190" s="17">
        <f>+H2/(G190*L190)</f>
        <v>22.897741856220605</v>
      </c>
      <c r="G190" s="17">
        <f>+K191*L191*L191</f>
        <v>407927668059.1407</v>
      </c>
      <c r="H190" s="17">
        <f>+G190/A2/B2</f>
        <v>433.98714818635926</v>
      </c>
      <c r="I190" s="17" t="s">
        <v>38</v>
      </c>
      <c r="J190" s="1" t="s">
        <v>166</v>
      </c>
      <c r="K190">
        <f>+L190*B2</f>
        <v>1600965.6848131358</v>
      </c>
      <c r="L190" s="17">
        <f>SQRT(R190)</f>
        <v>254801.00662292077</v>
      </c>
      <c r="M190" s="1" t="s">
        <v>76</v>
      </c>
      <c r="N190" s="1" t="s">
        <v>71</v>
      </c>
      <c r="O190" s="1" t="s">
        <v>51</v>
      </c>
      <c r="P190" s="1" t="s">
        <v>82</v>
      </c>
      <c r="Q190" s="1" t="s">
        <v>48</v>
      </c>
      <c r="R190">
        <f>+G190/B2</f>
        <v>64923552976.05371</v>
      </c>
    </row>
    <row r="191" spans="9:17" ht="18.75">
      <c r="I191" s="17" t="s">
        <v>39</v>
      </c>
      <c r="J191">
        <v>0.0727</v>
      </c>
      <c r="K191">
        <f>+J191*A2*B2</f>
        <v>68334607.5841968</v>
      </c>
      <c r="L191" s="17">
        <f>+K191/M191</f>
        <v>77.26293984352986</v>
      </c>
      <c r="M191">
        <f>+N191*C2</f>
        <v>884442.24</v>
      </c>
      <c r="N191">
        <v>10.2366</v>
      </c>
      <c r="O191">
        <f>+N191/D2</f>
        <v>0.028026283367556467</v>
      </c>
      <c r="P191">
        <f>+F2*0.0757</f>
        <v>1.437543E+26</v>
      </c>
      <c r="Q191" s="17">
        <f>+P191/H2</f>
        <v>60400966.38655462</v>
      </c>
    </row>
    <row r="192" spans="9:18" ht="18.75">
      <c r="I192" s="17" t="s">
        <v>40</v>
      </c>
      <c r="J192" s="17">
        <f>+K192/A2/B2</f>
        <v>1.7032395355824304</v>
      </c>
      <c r="K192">
        <f>+K190*1000</f>
        <v>1600965684.8131359</v>
      </c>
      <c r="L192" s="17">
        <f>SQRT(R192)</f>
        <v>15.962487482310541</v>
      </c>
      <c r="M192">
        <f>+K192/L192</f>
        <v>100295501.34885362</v>
      </c>
      <c r="N192">
        <f>+M192/C2</f>
        <v>1160.827561908028</v>
      </c>
      <c r="O192" s="3">
        <f>+N192/D2</f>
        <v>3.1781726540945323</v>
      </c>
      <c r="P192" s="1" t="s">
        <v>60</v>
      </c>
      <c r="Q192" s="1" t="s">
        <v>69</v>
      </c>
      <c r="R192">
        <f>+G190/K192</f>
        <v>254.80100662292074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</dc:creator>
  <cp:keywords/>
  <dc:description/>
  <cp:lastModifiedBy>VICENTE</cp:lastModifiedBy>
  <dcterms:created xsi:type="dcterms:W3CDTF">2010-11-24T15:43:20Z</dcterms:created>
  <dcterms:modified xsi:type="dcterms:W3CDTF">2010-11-29T11:44:33Z</dcterms:modified>
  <cp:category/>
  <cp:version/>
  <cp:contentType/>
  <cp:contentStatus/>
</cp:coreProperties>
</file>