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73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<sst xmlns="http://schemas.openxmlformats.org/spreadsheetml/2006/main" count="1584" uniqueCount="142">
  <si>
    <t>1 UA</t>
  </si>
  <si>
    <r>
      <t xml:space="preserve">  2</t>
    </r>
    <r>
      <rPr>
        <sz val="11"/>
        <color indexed="8"/>
        <rFont val="Calibri"/>
        <family val="2"/>
      </rPr>
      <t>π</t>
    </r>
  </si>
  <si>
    <t>SGS DÍA</t>
  </si>
  <si>
    <t xml:space="preserve">  DÍAS AÑO</t>
  </si>
  <si>
    <t>MASA  DEL SOL</t>
  </si>
  <si>
    <t>MASA DE JÚPITER</t>
  </si>
  <si>
    <t>MASA TIERRA</t>
  </si>
  <si>
    <t>MASA INICIAL</t>
  </si>
  <si>
    <t>CÁLCULO DE DATOS POR EL EJE DE SIMETRÍA (ES)</t>
  </si>
  <si>
    <t xml:space="preserve">     TABLA DE DATOS DE SISTEMAS PLANETARIOS  PLANETAS Y EXOPLANETAS </t>
  </si>
  <si>
    <t>ESTRELLA</t>
  </si>
  <si>
    <t>CONSTELACIÓN</t>
  </si>
  <si>
    <t>DISTANCIA</t>
  </si>
  <si>
    <t xml:space="preserve">   MASA</t>
  </si>
  <si>
    <t>SOLES</t>
  </si>
  <si>
    <t>M/kg/km/sg</t>
  </si>
  <si>
    <t xml:space="preserve">  EJE (ES)</t>
  </si>
  <si>
    <t>LÍMITE (UA)</t>
  </si>
  <si>
    <t>SISTEMA</t>
  </si>
  <si>
    <t>Sem. Mayor (UA)</t>
  </si>
  <si>
    <t xml:space="preserve">       LO</t>
  </si>
  <si>
    <t xml:space="preserve">      Vo</t>
  </si>
  <si>
    <t xml:space="preserve">    sgs</t>
  </si>
  <si>
    <t>DÍAS</t>
  </si>
  <si>
    <t>AÑOS</t>
  </si>
  <si>
    <t>MASA</t>
  </si>
  <si>
    <t>Eje (es)</t>
  </si>
  <si>
    <t>ES/Lo</t>
  </si>
  <si>
    <t>Años/luz</t>
  </si>
  <si>
    <t xml:space="preserve">   kgs</t>
  </si>
  <si>
    <t>acumulación</t>
  </si>
  <si>
    <t xml:space="preserve">    kms</t>
  </si>
  <si>
    <t>a Vo 1 km/sg</t>
  </si>
  <si>
    <t>PLANETARIO</t>
  </si>
  <si>
    <t>Publicado</t>
  </si>
  <si>
    <t xml:space="preserve"> kms/sg</t>
  </si>
  <si>
    <t>TABLA-6</t>
  </si>
  <si>
    <t>201.-V391 PEGASI</t>
  </si>
  <si>
    <t>PEGASO</t>
  </si>
  <si>
    <t>cm</t>
  </si>
  <si>
    <t>b</t>
  </si>
  <si>
    <t>CP</t>
  </si>
  <si>
    <t xml:space="preserve">      -------</t>
  </si>
  <si>
    <t xml:space="preserve">     ---------</t>
  </si>
  <si>
    <t xml:space="preserve">    ---------</t>
  </si>
  <si>
    <t xml:space="preserve">   ---------</t>
  </si>
  <si>
    <t xml:space="preserve">    -------</t>
  </si>
  <si>
    <t xml:space="preserve">    ----------</t>
  </si>
  <si>
    <t>202.-HD 210277</t>
  </si>
  <si>
    <t>ACUARIO</t>
  </si>
  <si>
    <t xml:space="preserve">     --------</t>
  </si>
  <si>
    <t xml:space="preserve">    --------</t>
  </si>
  <si>
    <t xml:space="preserve">   --------</t>
  </si>
  <si>
    <t xml:space="preserve">   ----------</t>
  </si>
  <si>
    <t xml:space="preserve">  -----------</t>
  </si>
  <si>
    <t>203.-GLIESE 849</t>
  </si>
  <si>
    <t>204.-HD 210702</t>
  </si>
  <si>
    <t xml:space="preserve">      --------</t>
  </si>
  <si>
    <t xml:space="preserve">       -------</t>
  </si>
  <si>
    <t xml:space="preserve">     -------</t>
  </si>
  <si>
    <t>205.-HD 212301</t>
  </si>
  <si>
    <t>OCTANS</t>
  </si>
  <si>
    <t xml:space="preserve">      ----------</t>
  </si>
  <si>
    <t>206.-HD 213240</t>
  </si>
  <si>
    <t>GRUS</t>
  </si>
  <si>
    <t xml:space="preserve">      ---------</t>
  </si>
  <si>
    <t xml:space="preserve">      ------</t>
  </si>
  <si>
    <t>207.-GLIESE 876</t>
  </si>
  <si>
    <t>d</t>
  </si>
  <si>
    <t>c</t>
  </si>
  <si>
    <t>e</t>
  </si>
  <si>
    <t>208.-TAU GRUIS</t>
  </si>
  <si>
    <t>209.-RHO INDI</t>
  </si>
  <si>
    <t>INDUS</t>
  </si>
  <si>
    <t xml:space="preserve">     ----------</t>
  </si>
  <si>
    <t xml:space="preserve">    -----------</t>
  </si>
  <si>
    <t>210.-HD 216770</t>
  </si>
  <si>
    <t>PISCIS</t>
  </si>
  <si>
    <t xml:space="preserve">    ------------</t>
  </si>
  <si>
    <t>211.-51 PEGASI</t>
  </si>
  <si>
    <t>212.-HD 217107</t>
  </si>
  <si>
    <t>213.-PSI AQUARI A</t>
  </si>
  <si>
    <t>MÚLTIPLE</t>
  </si>
  <si>
    <t>Ab</t>
  </si>
  <si>
    <t>214.-HD 219828</t>
  </si>
  <si>
    <t xml:space="preserve">        -------</t>
  </si>
  <si>
    <t xml:space="preserve">     -----------</t>
  </si>
  <si>
    <t>215.-HD 221287</t>
  </si>
  <si>
    <t>TUCANA</t>
  </si>
  <si>
    <t>BINARIO</t>
  </si>
  <si>
    <t>CEPHEUS</t>
  </si>
  <si>
    <t>216.-GAMMA CEPHEI</t>
  </si>
  <si>
    <t>B</t>
  </si>
  <si>
    <t>CPB</t>
  </si>
  <si>
    <t>CPA</t>
  </si>
  <si>
    <t xml:space="preserve">       --------</t>
  </si>
  <si>
    <t>cmB</t>
  </si>
  <si>
    <t>cmA</t>
  </si>
  <si>
    <t xml:space="preserve">        --------</t>
  </si>
  <si>
    <t>217.-HD 222582</t>
  </si>
  <si>
    <t>218.-HD 224693</t>
  </si>
  <si>
    <t>CETUS</t>
  </si>
  <si>
    <t xml:space="preserve">     ------------</t>
  </si>
  <si>
    <t>219.-41 LYNCIS</t>
  </si>
  <si>
    <t>OSA MAYOR</t>
  </si>
  <si>
    <t>220.-WASP-1</t>
  </si>
  <si>
    <t>ANDRÓMEDA</t>
  </si>
  <si>
    <t>221.-WASP -2</t>
  </si>
  <si>
    <t>DELPHINUS</t>
  </si>
  <si>
    <t>222.-WASP-3</t>
  </si>
  <si>
    <t>LYRA</t>
  </si>
  <si>
    <t>223.-WASP 4</t>
  </si>
  <si>
    <t>FENIX</t>
  </si>
  <si>
    <t xml:space="preserve">      -----------</t>
  </si>
  <si>
    <t>224.-WASP-5</t>
  </si>
  <si>
    <t>225.-WASP-6</t>
  </si>
  <si>
    <t>226.-WASP-7</t>
  </si>
  <si>
    <t>MICROSCOPIUM</t>
  </si>
  <si>
    <t>227.-WASP-8</t>
  </si>
  <si>
    <t xml:space="preserve">    ------</t>
  </si>
  <si>
    <t>228.-WASP-9</t>
  </si>
  <si>
    <t xml:space="preserve">         -----------</t>
  </si>
  <si>
    <t>229.-WASP-10</t>
  </si>
  <si>
    <t xml:space="preserve">         ------------</t>
  </si>
  <si>
    <t>230.-WASP-11</t>
  </si>
  <si>
    <t xml:space="preserve">           ------------</t>
  </si>
  <si>
    <t xml:space="preserve">        ---------</t>
  </si>
  <si>
    <t>231.-WASP-12</t>
  </si>
  <si>
    <t>AURIGA</t>
  </si>
  <si>
    <t>232.-WASP-13</t>
  </si>
  <si>
    <t xml:space="preserve">       ----------</t>
  </si>
  <si>
    <t>233.-WASP-14</t>
  </si>
  <si>
    <t xml:space="preserve">            -----------</t>
  </si>
  <si>
    <t>234.-WASP-15</t>
  </si>
  <si>
    <t>235.-OGL2-2006-BLG 109L</t>
  </si>
  <si>
    <t>SAGITARIO</t>
  </si>
  <si>
    <t>236.-HAT-P-7</t>
  </si>
  <si>
    <t>CISNE</t>
  </si>
  <si>
    <t xml:space="preserve">         --------</t>
  </si>
  <si>
    <t>237.-COROT-7</t>
  </si>
  <si>
    <t>UNICORNIO</t>
  </si>
  <si>
    <t xml:space="preserve">       ---------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</si>
</sst>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color indexed="36"/>
      <name val="Calibri"/>
      <family val="2"/>
    </font>
    <font>
      <u val="single"/>
      <sz val="14"/>
      <name val="Calibri"/>
      <family val="2"/>
    </font>
    <font>
      <b/>
      <u val="single"/>
      <sz val="14"/>
      <color indexed="62"/>
      <name val="Calibri"/>
      <family val="2"/>
    </font>
    <font>
      <u val="single"/>
      <sz val="14"/>
      <color indexed="6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7"/>
      <name val="Calibri"/>
      <family val="2"/>
    </font>
    <font>
      <b/>
      <u val="single"/>
      <sz val="14"/>
      <color theme="4"/>
      <name val="Calibri"/>
      <family val="2"/>
    </font>
    <font>
      <u val="single"/>
      <sz val="14"/>
      <color theme="4"/>
      <name val="Calibri"/>
      <family val="2"/>
    </font>
    <font>
      <b/>
      <u val="single"/>
      <sz val="14"/>
      <color theme="5"/>
      <name val="Calibri"/>
      <family val="2"/>
    </font>
    <font>
      <u val="single"/>
      <sz val="14"/>
      <color theme="5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5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8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tabSelected="1" zoomScalePageLayoutView="0" workbookViewId="0" topLeftCell="A183">
      <selection activeCell="A200" sqref="A200"/>
    </sheetView>
  </sheetViews>
  <sheetFormatPr defaultColWidth="11.421875" defaultRowHeight="15"/>
  <cols>
    <col min="1" max="1" width="24.57421875" style="0" customWidth="1"/>
    <col min="2" max="2" width="15.57421875" style="0" customWidth="1"/>
    <col min="4" max="4" width="16.8515625" style="0" bestFit="1" customWidth="1"/>
    <col min="5" max="5" width="12.00390625" style="0" bestFit="1" customWidth="1"/>
    <col min="6" max="6" width="12.7109375" style="0" bestFit="1" customWidth="1"/>
    <col min="7" max="7" width="16.8515625" style="0" bestFit="1" customWidth="1"/>
    <col min="11" max="11" width="12.00390625" style="0" bestFit="1" customWidth="1"/>
    <col min="13" max="14" width="12.00390625" style="0" bestFit="1" customWidth="1"/>
    <col min="15" max="15" width="16.8515625" style="0" bestFit="1" customWidth="1"/>
    <col min="16" max="16" width="15.28125" style="0" bestFit="1" customWidth="1"/>
    <col min="17" max="17" width="13.140625" style="0" customWidth="1"/>
    <col min="18" max="18" width="12.0039062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">
        <v>149597870</v>
      </c>
      <c r="B2" s="1">
        <v>6.2832</v>
      </c>
      <c r="C2" s="1">
        <v>86400</v>
      </c>
      <c r="D2" s="1">
        <v>365.25</v>
      </c>
      <c r="E2" s="1">
        <v>1.989E+30</v>
      </c>
      <c r="F2" s="1">
        <v>1.899E+27</v>
      </c>
      <c r="G2" s="1">
        <v>5.9736E+24</v>
      </c>
      <c r="H2" s="1">
        <v>2.38E+18</v>
      </c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3"/>
      <c r="K3" s="1"/>
      <c r="L3" s="1"/>
      <c r="M3" s="1"/>
      <c r="N3" s="1"/>
      <c r="O3" s="1"/>
      <c r="P3" s="1"/>
      <c r="Q3" s="1"/>
      <c r="R3" s="1"/>
    </row>
    <row r="4" spans="1:18" ht="23.25">
      <c r="A4" s="16" t="s">
        <v>36</v>
      </c>
      <c r="B4" s="1"/>
      <c r="C4" s="1"/>
      <c r="D4" s="1"/>
      <c r="E4" s="1"/>
      <c r="F4" s="8" t="s">
        <v>8</v>
      </c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</row>
    <row r="5" spans="1:18" ht="21">
      <c r="A5" s="2"/>
      <c r="B5" s="1"/>
      <c r="C5" s="2"/>
      <c r="D5" s="4" t="s">
        <v>9</v>
      </c>
      <c r="E5" s="5"/>
      <c r="F5" s="6"/>
      <c r="G5" s="6"/>
      <c r="H5" s="6"/>
      <c r="I5" s="6"/>
      <c r="J5" s="7"/>
      <c r="K5" s="7"/>
      <c r="L5" s="1"/>
      <c r="M5" s="1"/>
      <c r="N5" s="1"/>
      <c r="O5" s="1"/>
      <c r="P5" s="1"/>
      <c r="Q5" s="1"/>
      <c r="R5" s="1"/>
    </row>
    <row r="6" spans="1:18" ht="18.75">
      <c r="A6" s="9" t="s">
        <v>10</v>
      </c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 t="s">
        <v>22</v>
      </c>
      <c r="N6" s="14" t="s">
        <v>23</v>
      </c>
      <c r="O6" s="14" t="s">
        <v>24</v>
      </c>
      <c r="P6" s="14" t="s">
        <v>25</v>
      </c>
      <c r="Q6" s="14" t="s">
        <v>26</v>
      </c>
      <c r="R6" s="13" t="s">
        <v>27</v>
      </c>
    </row>
    <row r="7" spans="1:18" ht="18.75">
      <c r="A7" s="11"/>
      <c r="B7" s="12"/>
      <c r="C7" s="11" t="s">
        <v>28</v>
      </c>
      <c r="D7" s="12" t="s">
        <v>29</v>
      </c>
      <c r="E7" s="12"/>
      <c r="F7" s="11" t="s">
        <v>30</v>
      </c>
      <c r="G7" s="11" t="s">
        <v>31</v>
      </c>
      <c r="H7" s="11" t="s">
        <v>32</v>
      </c>
      <c r="I7" s="14" t="s">
        <v>33</v>
      </c>
      <c r="J7" s="10" t="s">
        <v>34</v>
      </c>
      <c r="K7" s="14" t="s">
        <v>31</v>
      </c>
      <c r="L7" s="14" t="s">
        <v>35</v>
      </c>
      <c r="M7" s="15"/>
      <c r="N7" s="10" t="s">
        <v>34</v>
      </c>
      <c r="O7" s="15"/>
      <c r="P7" s="10" t="s">
        <v>34</v>
      </c>
      <c r="Q7" s="15"/>
      <c r="R7" s="1"/>
    </row>
    <row r="8" spans="1:18" ht="18.75">
      <c r="A8" s="17" t="s">
        <v>37</v>
      </c>
      <c r="B8" s="17" t="s">
        <v>38</v>
      </c>
      <c r="C8" s="17">
        <v>4570</v>
      </c>
      <c r="D8" s="17">
        <f>+G8*H2</f>
        <v>9.502620698834035E+29</v>
      </c>
      <c r="E8" s="17">
        <f>+D8/E2</f>
        <v>0.47775870783479313</v>
      </c>
      <c r="F8" s="17">
        <f>+H2/(G8*L8)</f>
        <v>23.64654760707083</v>
      </c>
      <c r="G8" s="17">
        <f>+K9*L9*L9</f>
        <v>399269777261.9342</v>
      </c>
      <c r="H8" s="17">
        <f>+G8/A2/B2</f>
        <v>424.7761688128204</v>
      </c>
      <c r="I8" s="18" t="s">
        <v>39</v>
      </c>
      <c r="J8" s="1" t="s">
        <v>42</v>
      </c>
      <c r="K8">
        <f>+L8*B2</f>
        <v>1583885.0540655358</v>
      </c>
      <c r="L8" s="17">
        <f>SQRT(R8)</f>
        <v>252082.5461652559</v>
      </c>
      <c r="M8" s="1" t="s">
        <v>43</v>
      </c>
      <c r="N8" s="1" t="s">
        <v>44</v>
      </c>
      <c r="O8" s="1" t="s">
        <v>45</v>
      </c>
      <c r="P8" s="1" t="s">
        <v>46</v>
      </c>
      <c r="Q8" s="1" t="s">
        <v>47</v>
      </c>
      <c r="R8">
        <f>+G8/B2</f>
        <v>63545610081.15836</v>
      </c>
    </row>
    <row r="9" spans="9:17" ht="18.75">
      <c r="I9" s="18" t="s">
        <v>40</v>
      </c>
      <c r="J9">
        <v>1.7</v>
      </c>
      <c r="K9">
        <f>+J9*A2*B2</f>
        <v>1597920672.5328</v>
      </c>
      <c r="L9" s="17">
        <f>+K9/M9</f>
        <v>15.80722412682811</v>
      </c>
      <c r="M9">
        <f>+N9*C2</f>
        <v>101088000</v>
      </c>
      <c r="N9">
        <v>1170</v>
      </c>
      <c r="O9">
        <f>+N9/D2</f>
        <v>3.2032854209445585</v>
      </c>
      <c r="P9">
        <f>+F2*3.2</f>
        <v>6.076800000000001E+27</v>
      </c>
      <c r="Q9" s="17">
        <f>+P9/H2</f>
        <v>2553277310.9243703</v>
      </c>
    </row>
    <row r="10" spans="9:18" ht="18.75">
      <c r="I10" s="18" t="s">
        <v>41</v>
      </c>
      <c r="J10" s="17">
        <f>+K10/A2/B2</f>
        <v>1.685067749729698</v>
      </c>
      <c r="K10">
        <f>+K8*1000</f>
        <v>1583885054.0655358</v>
      </c>
      <c r="L10" s="17">
        <f>SQRT(R10)</f>
        <v>15.877107613329825</v>
      </c>
      <c r="M10">
        <f>+K10/L10</f>
        <v>99759042.55607395</v>
      </c>
      <c r="N10">
        <f>+M10/C2</f>
        <v>1154.6185481027078</v>
      </c>
      <c r="O10" s="3">
        <f>+N10/D2</f>
        <v>3.1611733007603227</v>
      </c>
      <c r="P10" s="1" t="s">
        <v>45</v>
      </c>
      <c r="Q10" s="1" t="s">
        <v>43</v>
      </c>
      <c r="R10">
        <f>+G8/K10</f>
        <v>252.08254616525588</v>
      </c>
    </row>
    <row r="11" spans="1:18" ht="18.75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16</v>
      </c>
      <c r="H11" s="9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14" t="s">
        <v>24</v>
      </c>
      <c r="P11" s="14" t="s">
        <v>25</v>
      </c>
      <c r="Q11" s="14" t="s">
        <v>26</v>
      </c>
      <c r="R11" s="13" t="s">
        <v>27</v>
      </c>
    </row>
    <row r="12" spans="1:18" ht="18.75">
      <c r="A12" s="11"/>
      <c r="B12" s="12"/>
      <c r="C12" s="11" t="s">
        <v>28</v>
      </c>
      <c r="D12" s="12" t="s">
        <v>29</v>
      </c>
      <c r="E12" s="12"/>
      <c r="F12" s="11" t="s">
        <v>30</v>
      </c>
      <c r="G12" s="11" t="s">
        <v>31</v>
      </c>
      <c r="H12" s="11" t="s">
        <v>32</v>
      </c>
      <c r="I12" s="14" t="s">
        <v>33</v>
      </c>
      <c r="J12" s="10" t="s">
        <v>34</v>
      </c>
      <c r="K12" s="14" t="s">
        <v>31</v>
      </c>
      <c r="L12" s="14" t="s">
        <v>35</v>
      </c>
      <c r="M12" s="15"/>
      <c r="N12" s="10" t="s">
        <v>34</v>
      </c>
      <c r="O12" s="15"/>
      <c r="P12" s="10" t="s">
        <v>34</v>
      </c>
      <c r="Q12" s="15"/>
      <c r="R12" s="1"/>
    </row>
    <row r="13" spans="1:18" ht="18.75">
      <c r="A13" s="17" t="s">
        <v>48</v>
      </c>
      <c r="B13" s="17" t="s">
        <v>49</v>
      </c>
      <c r="C13" s="17">
        <v>69.41</v>
      </c>
      <c r="D13" s="17">
        <f>+G13*H2</f>
        <v>1.9956175118206937E+30</v>
      </c>
      <c r="E13" s="17">
        <f>+D13/E2</f>
        <v>1.003327054711259</v>
      </c>
      <c r="F13" s="17">
        <f>+H2/(G13*L13)</f>
        <v>7.769925866601906</v>
      </c>
      <c r="G13" s="17">
        <f>+K14*L14*L14</f>
        <v>838494752865.8376</v>
      </c>
      <c r="H13" s="17">
        <f>+G13/A2/B2</f>
        <v>892.0599779290135</v>
      </c>
      <c r="I13" s="18" t="s">
        <v>39</v>
      </c>
      <c r="J13" s="1" t="s">
        <v>50</v>
      </c>
      <c r="K13">
        <f>+L13*B2</f>
        <v>2295306.13017232</v>
      </c>
      <c r="L13" s="17">
        <f>SQRT(R13)</f>
        <v>365308.4622759613</v>
      </c>
      <c r="M13" s="1" t="s">
        <v>51</v>
      </c>
      <c r="N13" s="1" t="s">
        <v>45</v>
      </c>
      <c r="O13" s="1" t="s">
        <v>52</v>
      </c>
      <c r="P13" s="1" t="s">
        <v>53</v>
      </c>
      <c r="Q13" s="1" t="s">
        <v>54</v>
      </c>
      <c r="R13">
        <f>+G13/B2</f>
        <v>133450272610.42743</v>
      </c>
    </row>
    <row r="14" spans="9:17" ht="18.75">
      <c r="I14" s="18" t="s">
        <v>40</v>
      </c>
      <c r="J14">
        <v>1.138</v>
      </c>
      <c r="K14">
        <f>+J14*A2*B2</f>
        <v>1069666897.2601918</v>
      </c>
      <c r="L14" s="17">
        <f>+K14/M14</f>
        <v>27.997928273987295</v>
      </c>
      <c r="M14">
        <f>+N14*C2</f>
        <v>38205216</v>
      </c>
      <c r="N14">
        <v>442.19</v>
      </c>
      <c r="O14">
        <f>+N14/D2</f>
        <v>1.2106502395619438</v>
      </c>
      <c r="P14">
        <f>+F2*1.29</f>
        <v>2.4497100000000002E+27</v>
      </c>
      <c r="Q14" s="17">
        <f>+P14/H2</f>
        <v>1029289915.9663867</v>
      </c>
    </row>
    <row r="15" spans="1:18" ht="18.75">
      <c r="A15" s="17"/>
      <c r="B15" s="17"/>
      <c r="C15" s="17"/>
      <c r="I15" s="18" t="s">
        <v>41</v>
      </c>
      <c r="J15" s="17">
        <f>+K15/A2/B2</f>
        <v>2.4419362540119143</v>
      </c>
      <c r="K15">
        <f>+K13*1000</f>
        <v>2295306130.1723204</v>
      </c>
      <c r="L15" s="17">
        <f>SQRT(R15)</f>
        <v>19.1130442963951</v>
      </c>
      <c r="M15">
        <f>+K15/L15</f>
        <v>120091079.92310973</v>
      </c>
      <c r="N15">
        <f>+M15/C2</f>
        <v>1389.9430546656217</v>
      </c>
      <c r="O15" s="3">
        <f>+N15/D2</f>
        <v>3.8054566862850696</v>
      </c>
      <c r="P15" s="1" t="s">
        <v>44</v>
      </c>
      <c r="Q15" s="1" t="s">
        <v>43</v>
      </c>
      <c r="R15">
        <f>+G13/K15</f>
        <v>365.30846227596123</v>
      </c>
    </row>
    <row r="16" spans="1:18" ht="18.75">
      <c r="A16" s="9" t="s">
        <v>10</v>
      </c>
      <c r="B16" s="9" t="s">
        <v>11</v>
      </c>
      <c r="C16" s="9" t="s">
        <v>12</v>
      </c>
      <c r="D16" s="9" t="s">
        <v>13</v>
      </c>
      <c r="E16" s="9" t="s">
        <v>14</v>
      </c>
      <c r="F16" s="9" t="s">
        <v>15</v>
      </c>
      <c r="G16" s="9" t="s">
        <v>16</v>
      </c>
      <c r="H16" s="9" t="s">
        <v>17</v>
      </c>
      <c r="I16" s="14" t="s">
        <v>18</v>
      </c>
      <c r="J16" s="14" t="s">
        <v>19</v>
      </c>
      <c r="K16" s="14" t="s">
        <v>20</v>
      </c>
      <c r="L16" s="14" t="s">
        <v>21</v>
      </c>
      <c r="M16" s="14" t="s">
        <v>22</v>
      </c>
      <c r="N16" s="14" t="s">
        <v>23</v>
      </c>
      <c r="O16" s="14" t="s">
        <v>24</v>
      </c>
      <c r="P16" s="14" t="s">
        <v>25</v>
      </c>
      <c r="Q16" s="14" t="s">
        <v>26</v>
      </c>
      <c r="R16" s="13" t="s">
        <v>27</v>
      </c>
    </row>
    <row r="17" spans="1:18" ht="18.75">
      <c r="A17" s="11"/>
      <c r="B17" s="11"/>
      <c r="C17" s="11" t="s">
        <v>28</v>
      </c>
      <c r="D17" s="12" t="s">
        <v>29</v>
      </c>
      <c r="E17" s="12"/>
      <c r="F17" s="11" t="s">
        <v>30</v>
      </c>
      <c r="G17" s="11" t="s">
        <v>31</v>
      </c>
      <c r="H17" s="11" t="s">
        <v>32</v>
      </c>
      <c r="I17" s="14" t="s">
        <v>33</v>
      </c>
      <c r="J17" s="10" t="s">
        <v>34</v>
      </c>
      <c r="K17" s="14" t="s">
        <v>31</v>
      </c>
      <c r="L17" s="14" t="s">
        <v>35</v>
      </c>
      <c r="M17" s="15"/>
      <c r="N17" s="10" t="s">
        <v>34</v>
      </c>
      <c r="O17" s="15"/>
      <c r="P17" s="10" t="s">
        <v>34</v>
      </c>
      <c r="Q17" s="15"/>
      <c r="R17" s="1"/>
    </row>
    <row r="18" spans="1:18" ht="18.75">
      <c r="A18" s="17" t="s">
        <v>55</v>
      </c>
      <c r="B18" s="17" t="s">
        <v>49</v>
      </c>
      <c r="C18" s="17">
        <v>28.7</v>
      </c>
      <c r="D18" s="17">
        <f>+G18*H2</f>
        <v>9.61940771174345E+29</v>
      </c>
      <c r="E18" s="17">
        <f>+D18/E2</f>
        <v>0.4836303525260659</v>
      </c>
      <c r="F18" s="17">
        <f>+H2/(G18*L18)</f>
        <v>23.217226381465334</v>
      </c>
      <c r="G18" s="17">
        <f>+K19*L19*L19</f>
        <v>404176794611.06934</v>
      </c>
      <c r="H18" s="17">
        <f>+G18/A2/B2</f>
        <v>429.9966591894217</v>
      </c>
      <c r="I18" s="18" t="s">
        <v>39</v>
      </c>
      <c r="J18" s="1" t="s">
        <v>50</v>
      </c>
      <c r="K18">
        <f>+L18*B2</f>
        <v>1593588.2893333116</v>
      </c>
      <c r="L18" s="17">
        <f>SQRT(R18)</f>
        <v>253626.86041082756</v>
      </c>
      <c r="M18" s="1" t="s">
        <v>46</v>
      </c>
      <c r="N18" s="1" t="s">
        <v>43</v>
      </c>
      <c r="O18" s="1" t="s">
        <v>43</v>
      </c>
      <c r="P18" s="1" t="s">
        <v>50</v>
      </c>
      <c r="Q18" s="1" t="s">
        <v>47</v>
      </c>
      <c r="R18">
        <f>+G18/B2</f>
        <v>64326584321.85341</v>
      </c>
    </row>
    <row r="19" spans="9:17" ht="18.75">
      <c r="I19" s="18" t="s">
        <v>40</v>
      </c>
      <c r="J19">
        <v>2.35</v>
      </c>
      <c r="K19">
        <f>+J19*A2*B2</f>
        <v>2208890341.4424</v>
      </c>
      <c r="L19" s="17">
        <f>+K19/M19</f>
        <v>13.526910282201646</v>
      </c>
      <c r="M19">
        <f>+N19*C2</f>
        <v>163296000</v>
      </c>
      <c r="N19">
        <v>1890</v>
      </c>
      <c r="O19">
        <f>+N19/D2</f>
        <v>5.174537987679671</v>
      </c>
      <c r="P19">
        <f>+F2*0.82</f>
        <v>1.5571799999999998E+27</v>
      </c>
      <c r="Q19" s="17">
        <f>+P19/H2</f>
        <v>654277310.9243697</v>
      </c>
    </row>
    <row r="20" spans="9:18" ht="18.75">
      <c r="I20" s="18" t="s">
        <v>41</v>
      </c>
      <c r="J20" s="17">
        <f>+K20/A2/B2</f>
        <v>1.695390852896686</v>
      </c>
      <c r="K20">
        <f>+K18*1000</f>
        <v>1593588289.3333116</v>
      </c>
      <c r="L20" s="17">
        <f>SQRT(R20)</f>
        <v>15.92566671793767</v>
      </c>
      <c r="M20">
        <f>+K20/L20</f>
        <v>100064149.12214595</v>
      </c>
      <c r="N20">
        <f>+M20/C2</f>
        <v>1158.1498740989114</v>
      </c>
      <c r="O20" s="3">
        <f>+N20/D2</f>
        <v>3.1708415444186486</v>
      </c>
      <c r="P20" s="1" t="s">
        <v>45</v>
      </c>
      <c r="Q20" s="1" t="s">
        <v>47</v>
      </c>
      <c r="R20">
        <f>+G18/K20</f>
        <v>253.6268604108276</v>
      </c>
    </row>
    <row r="21" spans="1:18" ht="18.75">
      <c r="A21" s="9" t="s">
        <v>10</v>
      </c>
      <c r="B21" s="9" t="s">
        <v>11</v>
      </c>
      <c r="C21" s="9" t="s">
        <v>12</v>
      </c>
      <c r="D21" s="9" t="s">
        <v>13</v>
      </c>
      <c r="E21" s="9" t="s">
        <v>14</v>
      </c>
      <c r="F21" s="9" t="s">
        <v>15</v>
      </c>
      <c r="G21" s="9" t="s">
        <v>16</v>
      </c>
      <c r="H21" s="9" t="s">
        <v>17</v>
      </c>
      <c r="I21" s="14" t="s">
        <v>18</v>
      </c>
      <c r="J21" s="14" t="s">
        <v>19</v>
      </c>
      <c r="K21" s="14" t="s">
        <v>20</v>
      </c>
      <c r="L21" s="14" t="s">
        <v>21</v>
      </c>
      <c r="M21" s="14" t="s">
        <v>22</v>
      </c>
      <c r="N21" s="14" t="s">
        <v>23</v>
      </c>
      <c r="O21" s="14" t="s">
        <v>24</v>
      </c>
      <c r="P21" s="14" t="s">
        <v>25</v>
      </c>
      <c r="Q21" s="14" t="s">
        <v>26</v>
      </c>
      <c r="R21" s="13" t="s">
        <v>27</v>
      </c>
    </row>
    <row r="22" spans="1:18" ht="18.75">
      <c r="A22" s="11"/>
      <c r="B22" s="11"/>
      <c r="C22" s="11" t="s">
        <v>28</v>
      </c>
      <c r="D22" s="12" t="s">
        <v>29</v>
      </c>
      <c r="E22" s="12"/>
      <c r="F22" s="11" t="s">
        <v>30</v>
      </c>
      <c r="G22" s="11" t="s">
        <v>31</v>
      </c>
      <c r="H22" s="11" t="s">
        <v>32</v>
      </c>
      <c r="I22" s="14" t="s">
        <v>33</v>
      </c>
      <c r="J22" s="10" t="s">
        <v>34</v>
      </c>
      <c r="K22" s="14" t="s">
        <v>31</v>
      </c>
      <c r="L22" s="14" t="s">
        <v>35</v>
      </c>
      <c r="M22" s="15"/>
      <c r="N22" s="10" t="s">
        <v>34</v>
      </c>
      <c r="O22" s="15"/>
      <c r="P22" s="10" t="s">
        <v>34</v>
      </c>
      <c r="Q22" s="15"/>
      <c r="R22" s="1"/>
    </row>
    <row r="23" spans="1:18" ht="18.75">
      <c r="A23" s="17" t="s">
        <v>56</v>
      </c>
      <c r="B23" s="17" t="s">
        <v>38</v>
      </c>
      <c r="C23" s="17">
        <v>183</v>
      </c>
      <c r="D23" s="17">
        <f>+G23*H2</f>
        <v>3.644705988373188E+30</v>
      </c>
      <c r="E23" s="17">
        <f>+D23/E2</f>
        <v>1.832431366703463</v>
      </c>
      <c r="F23" s="17">
        <f>+H2/(G23*L23)</f>
        <v>3.148031606715121</v>
      </c>
      <c r="G23" s="17">
        <f>+K24*L24*L24</f>
        <v>1531389070745.0369</v>
      </c>
      <c r="H23" s="17">
        <f>+G23/A2/B2</f>
        <v>1629.2181864948773</v>
      </c>
      <c r="I23" s="18" t="s">
        <v>39</v>
      </c>
      <c r="J23" s="1" t="s">
        <v>57</v>
      </c>
      <c r="K23">
        <f>+L23*B2</f>
        <v>3101938.71785134</v>
      </c>
      <c r="L23" s="17">
        <f>SQRT(R23)</f>
        <v>493687.72565752163</v>
      </c>
      <c r="M23" s="1" t="s">
        <v>58</v>
      </c>
      <c r="N23" s="1" t="s">
        <v>50</v>
      </c>
      <c r="O23" s="1" t="s">
        <v>59</v>
      </c>
      <c r="P23" s="1" t="s">
        <v>43</v>
      </c>
      <c r="Q23" s="1" t="s">
        <v>53</v>
      </c>
      <c r="R23">
        <f>+G23/B2</f>
        <v>243727570464.89636</v>
      </c>
    </row>
    <row r="24" spans="9:17" ht="18.75">
      <c r="I24" s="18" t="s">
        <v>40</v>
      </c>
      <c r="J24">
        <v>1.17</v>
      </c>
      <c r="K24">
        <f>+J24*A2*B2</f>
        <v>1099745404.0372798</v>
      </c>
      <c r="L24" s="17">
        <f>+K24/M24</f>
        <v>37.316138284813825</v>
      </c>
      <c r="M24">
        <f>+N24*C2</f>
        <v>29471040.000000004</v>
      </c>
      <c r="N24">
        <v>341.1</v>
      </c>
      <c r="O24">
        <f>+N24/D2</f>
        <v>0.9338809034907598</v>
      </c>
      <c r="P24">
        <f>+F2*2</f>
        <v>3.798E+27</v>
      </c>
      <c r="Q24" s="17">
        <f>+P24/H2</f>
        <v>1595798319.3277311</v>
      </c>
    </row>
    <row r="25" spans="9:18" ht="18.75">
      <c r="I25" s="18" t="s">
        <v>41</v>
      </c>
      <c r="J25" s="17">
        <f>+K25/A2/B2</f>
        <v>3.300098628794124</v>
      </c>
      <c r="K25">
        <f>+K23*1000</f>
        <v>3101938717.85134</v>
      </c>
      <c r="L25" s="17">
        <f>SQRT(R25)</f>
        <v>22.219084716916708</v>
      </c>
      <c r="M25">
        <f>+K25/L25</f>
        <v>139606953.09333107</v>
      </c>
      <c r="N25">
        <f>+M25/C2</f>
        <v>1615.8212163579985</v>
      </c>
      <c r="O25" s="3">
        <f>+N25/D2</f>
        <v>4.423877389070496</v>
      </c>
      <c r="P25" s="1" t="s">
        <v>50</v>
      </c>
      <c r="Q25" s="1" t="s">
        <v>45</v>
      </c>
      <c r="R25">
        <f>+G23/K25</f>
        <v>493.6877256575217</v>
      </c>
    </row>
    <row r="26" spans="1:18" ht="18.75">
      <c r="A26" s="9" t="s">
        <v>10</v>
      </c>
      <c r="B26" s="9" t="s">
        <v>11</v>
      </c>
      <c r="C26" s="9" t="s">
        <v>12</v>
      </c>
      <c r="D26" s="9" t="s">
        <v>13</v>
      </c>
      <c r="E26" s="9" t="s">
        <v>14</v>
      </c>
      <c r="F26" s="9" t="s">
        <v>15</v>
      </c>
      <c r="G26" s="9" t="s">
        <v>16</v>
      </c>
      <c r="H26" s="9" t="s">
        <v>17</v>
      </c>
      <c r="I26" s="14" t="s">
        <v>18</v>
      </c>
      <c r="J26" s="14" t="s">
        <v>19</v>
      </c>
      <c r="K26" s="14" t="s">
        <v>20</v>
      </c>
      <c r="L26" s="14" t="s">
        <v>21</v>
      </c>
      <c r="M26" s="14" t="s">
        <v>22</v>
      </c>
      <c r="N26" s="14" t="s">
        <v>23</v>
      </c>
      <c r="O26" s="14" t="s">
        <v>24</v>
      </c>
      <c r="P26" s="14" t="s">
        <v>25</v>
      </c>
      <c r="Q26" s="14" t="s">
        <v>26</v>
      </c>
      <c r="R26" s="13" t="s">
        <v>27</v>
      </c>
    </row>
    <row r="27" spans="1:18" ht="18.75">
      <c r="A27" s="11"/>
      <c r="B27" s="11"/>
      <c r="C27" s="11" t="s">
        <v>28</v>
      </c>
      <c r="D27" s="12" t="s">
        <v>29</v>
      </c>
      <c r="E27" s="12"/>
      <c r="F27" s="11" t="s">
        <v>30</v>
      </c>
      <c r="G27" s="11" t="s">
        <v>31</v>
      </c>
      <c r="H27" s="11" t="s">
        <v>32</v>
      </c>
      <c r="I27" s="14" t="s">
        <v>33</v>
      </c>
      <c r="J27" s="10" t="s">
        <v>34</v>
      </c>
      <c r="K27" s="14" t="s">
        <v>31</v>
      </c>
      <c r="L27" s="14" t="s">
        <v>35</v>
      </c>
      <c r="M27" s="15"/>
      <c r="N27" s="10" t="s">
        <v>34</v>
      </c>
      <c r="O27" s="15"/>
      <c r="P27" s="10" t="s">
        <v>34</v>
      </c>
      <c r="Q27" s="15"/>
      <c r="R27" s="1"/>
    </row>
    <row r="28" spans="1:18" ht="18.75">
      <c r="A28" s="17" t="s">
        <v>60</v>
      </c>
      <c r="B28" s="17" t="s">
        <v>61</v>
      </c>
      <c r="C28" s="17">
        <v>172</v>
      </c>
      <c r="D28" s="17">
        <f>+G28*H2</f>
        <v>2.0462822791160313E+30</v>
      </c>
      <c r="E28" s="17">
        <f>+D28/E2</f>
        <v>1.0287995370115794</v>
      </c>
      <c r="F28" s="17">
        <f>+H2/(G28*L28)</f>
        <v>7.483151188156959</v>
      </c>
      <c r="G28" s="17">
        <f>+K29*L29*L29</f>
        <v>859782470216.8198</v>
      </c>
      <c r="H28" s="17">
        <f>+G28/A2/B2</f>
        <v>914.7076100165989</v>
      </c>
      <c r="I28" s="18" t="s">
        <v>39</v>
      </c>
      <c r="J28" s="1" t="s">
        <v>50</v>
      </c>
      <c r="K28">
        <f>+L28*B2</f>
        <v>2324260.1439740607</v>
      </c>
      <c r="L28" s="17">
        <f>SQRT(R28)</f>
        <v>369916.6259189682</v>
      </c>
      <c r="M28" s="1" t="s">
        <v>46</v>
      </c>
      <c r="N28" s="1" t="s">
        <v>59</v>
      </c>
      <c r="O28" s="1" t="s">
        <v>50</v>
      </c>
      <c r="P28" s="1" t="s">
        <v>45</v>
      </c>
      <c r="Q28" s="1" t="s">
        <v>53</v>
      </c>
      <c r="R28">
        <f>+G28/B2</f>
        <v>136838310131.27385</v>
      </c>
    </row>
    <row r="29" spans="9:17" ht="18.75">
      <c r="I29" s="18" t="s">
        <v>40</v>
      </c>
      <c r="J29">
        <v>0.036</v>
      </c>
      <c r="K29">
        <f>+J29*A2*B2</f>
        <v>33838320.12422399</v>
      </c>
      <c r="L29" s="17">
        <f>+K29/M29</f>
        <v>159.4005794301994</v>
      </c>
      <c r="M29">
        <f>+N29*C2</f>
        <v>212284.8</v>
      </c>
      <c r="N29">
        <v>2.457</v>
      </c>
      <c r="O29">
        <f>+N29/D2</f>
        <v>0.006726899383983572</v>
      </c>
      <c r="P29">
        <f>+F2*0.45</f>
        <v>8.5455E+26</v>
      </c>
      <c r="Q29" s="17">
        <f>+P29/H2</f>
        <v>359054621.8487395</v>
      </c>
    </row>
    <row r="30" spans="9:18" ht="18.75">
      <c r="I30" s="18" t="s">
        <v>41</v>
      </c>
      <c r="J30" s="17">
        <f>+K30/A2/B2</f>
        <v>2.4727399255014</v>
      </c>
      <c r="K30">
        <f>+K28*1000</f>
        <v>2324260143.9740605</v>
      </c>
      <c r="L30" s="17">
        <f>SQRT(R30)</f>
        <v>19.233216733530774</v>
      </c>
      <c r="M30">
        <f>+K30/L30</f>
        <v>120846147.38012055</v>
      </c>
      <c r="N30">
        <f>+M30/C2</f>
        <v>1398.6822613439879</v>
      </c>
      <c r="O30" s="3">
        <f>+N30/D2</f>
        <v>3.8293833301683446</v>
      </c>
      <c r="P30" s="1" t="s">
        <v>50</v>
      </c>
      <c r="Q30" s="1" t="s">
        <v>62</v>
      </c>
      <c r="R30">
        <f>+G28/K30</f>
        <v>369.91662591896824</v>
      </c>
    </row>
    <row r="31" spans="1:18" ht="18.75">
      <c r="A31" s="9" t="s">
        <v>10</v>
      </c>
      <c r="B31" s="9" t="s">
        <v>11</v>
      </c>
      <c r="C31" s="9" t="s">
        <v>12</v>
      </c>
      <c r="D31" s="9" t="s">
        <v>13</v>
      </c>
      <c r="E31" s="9" t="s">
        <v>14</v>
      </c>
      <c r="F31" s="9" t="s">
        <v>15</v>
      </c>
      <c r="G31" s="9" t="s">
        <v>16</v>
      </c>
      <c r="H31" s="9" t="s">
        <v>17</v>
      </c>
      <c r="I31" s="14" t="s">
        <v>18</v>
      </c>
      <c r="J31" s="14" t="s">
        <v>19</v>
      </c>
      <c r="K31" s="14" t="s">
        <v>20</v>
      </c>
      <c r="L31" s="14" t="s">
        <v>21</v>
      </c>
      <c r="M31" s="14" t="s">
        <v>22</v>
      </c>
      <c r="N31" s="14" t="s">
        <v>23</v>
      </c>
      <c r="O31" s="14" t="s">
        <v>24</v>
      </c>
      <c r="P31" s="14" t="s">
        <v>25</v>
      </c>
      <c r="Q31" s="14" t="s">
        <v>26</v>
      </c>
      <c r="R31" s="13" t="s">
        <v>27</v>
      </c>
    </row>
    <row r="32" spans="1:18" ht="18.75">
      <c r="A32" s="11"/>
      <c r="B32" s="11"/>
      <c r="C32" s="11" t="s">
        <v>28</v>
      </c>
      <c r="D32" s="12" t="s">
        <v>29</v>
      </c>
      <c r="E32" s="12"/>
      <c r="F32" s="11" t="s">
        <v>30</v>
      </c>
      <c r="G32" s="11" t="s">
        <v>31</v>
      </c>
      <c r="H32" s="11" t="s">
        <v>32</v>
      </c>
      <c r="I32" s="14" t="s">
        <v>33</v>
      </c>
      <c r="J32" s="10" t="s">
        <v>34</v>
      </c>
      <c r="K32" s="14" t="s">
        <v>31</v>
      </c>
      <c r="L32" s="14" t="s">
        <v>35</v>
      </c>
      <c r="M32" s="15"/>
      <c r="N32" s="10" t="s">
        <v>34</v>
      </c>
      <c r="O32" s="15"/>
      <c r="P32" s="10" t="s">
        <v>34</v>
      </c>
      <c r="Q32" s="15"/>
      <c r="R32" s="1"/>
    </row>
    <row r="33" spans="1:18" ht="18.75">
      <c r="A33" s="17" t="s">
        <v>63</v>
      </c>
      <c r="B33" s="17" t="s">
        <v>64</v>
      </c>
      <c r="C33" s="17">
        <v>133</v>
      </c>
      <c r="D33" s="17">
        <f>+G33*H2</f>
        <v>2.4490374922772178E+30</v>
      </c>
      <c r="E33" s="17">
        <f>+D33/E2</f>
        <v>1.2312908457904566</v>
      </c>
      <c r="F33" s="17">
        <f>+H2/(G33*L33)</f>
        <v>5.715308582753617</v>
      </c>
      <c r="G33" s="17">
        <f>+K34*L34*L34</f>
        <v>1029007349696.31</v>
      </c>
      <c r="H33" s="17">
        <f>+G33/A2/B2</f>
        <v>1094.7430148149733</v>
      </c>
      <c r="I33" s="18" t="s">
        <v>39</v>
      </c>
      <c r="J33" s="1" t="s">
        <v>65</v>
      </c>
      <c r="K33">
        <f>+L33*B2</f>
        <v>2542726.6820505615</v>
      </c>
      <c r="L33" s="17">
        <f>SQRT(R33)</f>
        <v>404686.57404675346</v>
      </c>
      <c r="M33" s="1" t="s">
        <v>59</v>
      </c>
      <c r="N33" s="1" t="s">
        <v>59</v>
      </c>
      <c r="O33" s="1" t="s">
        <v>44</v>
      </c>
      <c r="P33" s="1" t="s">
        <v>44</v>
      </c>
      <c r="Q33" s="1" t="s">
        <v>44</v>
      </c>
      <c r="R33">
        <f>+G33/B2</f>
        <v>163771223213.69846</v>
      </c>
    </row>
    <row r="34" spans="9:17" ht="18.75">
      <c r="I34" s="18" t="s">
        <v>40</v>
      </c>
      <c r="J34">
        <v>2.03</v>
      </c>
      <c r="K34">
        <f>+J34*A2*B2</f>
        <v>1908105273.6715198</v>
      </c>
      <c r="L34" s="17">
        <f>+K34/M34</f>
        <v>23.222451922823925</v>
      </c>
      <c r="M34">
        <f>+N34*C2</f>
        <v>82166400</v>
      </c>
      <c r="N34">
        <v>951</v>
      </c>
      <c r="O34">
        <f>+N34/D2</f>
        <v>2.6036960985626285</v>
      </c>
      <c r="P34">
        <f>+F2*4.51</f>
        <v>8.56449E+27</v>
      </c>
      <c r="Q34" s="17">
        <f>+P34/H2</f>
        <v>3598525210.0840335</v>
      </c>
    </row>
    <row r="35" spans="9:18" ht="18.75">
      <c r="I35" s="18" t="s">
        <v>41</v>
      </c>
      <c r="J35" s="17">
        <f>+K35/A2/B2</f>
        <v>2.705162674085891</v>
      </c>
      <c r="K35">
        <f>+K33*1000</f>
        <v>2542726682.0505614</v>
      </c>
      <c r="L35" s="17">
        <f>SQRT(R35)</f>
        <v>20.1168231599016</v>
      </c>
      <c r="M35">
        <f>+K35/L35</f>
        <v>126398023.27829376</v>
      </c>
      <c r="N35">
        <f>+M35/C2</f>
        <v>1462.9400842395112</v>
      </c>
      <c r="O35" s="3">
        <f>+N35/D2</f>
        <v>4.005311661162248</v>
      </c>
      <c r="P35" s="1" t="s">
        <v>66</v>
      </c>
      <c r="Q35" s="1" t="s">
        <v>45</v>
      </c>
      <c r="R35">
        <f>+G33/K35</f>
        <v>404.6865740467534</v>
      </c>
    </row>
    <row r="36" spans="1:18" ht="18.75">
      <c r="A36" s="9" t="s">
        <v>10</v>
      </c>
      <c r="B36" s="9" t="s">
        <v>11</v>
      </c>
      <c r="C36" s="9" t="s">
        <v>12</v>
      </c>
      <c r="D36" s="9" t="s">
        <v>13</v>
      </c>
      <c r="E36" s="9" t="s">
        <v>14</v>
      </c>
      <c r="F36" s="9" t="s">
        <v>15</v>
      </c>
      <c r="G36" s="9" t="s">
        <v>16</v>
      </c>
      <c r="H36" s="9" t="s">
        <v>17</v>
      </c>
      <c r="I36" s="14" t="s">
        <v>18</v>
      </c>
      <c r="J36" s="14" t="s">
        <v>19</v>
      </c>
      <c r="K36" s="14" t="s">
        <v>20</v>
      </c>
      <c r="L36" s="14" t="s">
        <v>21</v>
      </c>
      <c r="M36" s="14" t="s">
        <v>22</v>
      </c>
      <c r="N36" s="14" t="s">
        <v>23</v>
      </c>
      <c r="O36" s="14" t="s">
        <v>24</v>
      </c>
      <c r="P36" s="14" t="s">
        <v>25</v>
      </c>
      <c r="Q36" s="14" t="s">
        <v>26</v>
      </c>
      <c r="R36" s="13" t="s">
        <v>27</v>
      </c>
    </row>
    <row r="37" spans="1:18" ht="18.75">
      <c r="A37" s="11"/>
      <c r="B37" s="11"/>
      <c r="C37" s="11" t="s">
        <v>28</v>
      </c>
      <c r="D37" s="12" t="s">
        <v>29</v>
      </c>
      <c r="E37" s="12"/>
      <c r="F37" s="11" t="s">
        <v>30</v>
      </c>
      <c r="G37" s="11" t="s">
        <v>31</v>
      </c>
      <c r="H37" s="11" t="s">
        <v>32</v>
      </c>
      <c r="I37" s="14" t="s">
        <v>33</v>
      </c>
      <c r="J37" s="10" t="s">
        <v>34</v>
      </c>
      <c r="K37" s="14" t="s">
        <v>31</v>
      </c>
      <c r="L37" s="14" t="s">
        <v>35</v>
      </c>
      <c r="M37" s="15"/>
      <c r="N37" s="10" t="s">
        <v>34</v>
      </c>
      <c r="O37" s="15"/>
      <c r="P37" s="10" t="s">
        <v>34</v>
      </c>
      <c r="Q37" s="15"/>
      <c r="R37" s="1"/>
    </row>
    <row r="38" spans="1:18" ht="18.75">
      <c r="A38" s="17" t="s">
        <v>67</v>
      </c>
      <c r="B38" s="17" t="s">
        <v>49</v>
      </c>
      <c r="C38" s="17">
        <v>15.3</v>
      </c>
      <c r="D38" s="17">
        <f>+G38*H2</f>
        <v>6.351799516133962E+29</v>
      </c>
      <c r="E38" s="17">
        <f>+D38/E2</f>
        <v>0.31934638090165723</v>
      </c>
      <c r="F38" s="17">
        <f>+H2/(G38*L38)</f>
        <v>43.27007638008344</v>
      </c>
      <c r="G38" s="17">
        <f>+K39*L39*L39</f>
        <v>266882332610.67065</v>
      </c>
      <c r="H38" s="17">
        <f>+G38/A2/B2</f>
        <v>283.93146996402425</v>
      </c>
      <c r="I38" s="18" t="s">
        <v>39</v>
      </c>
      <c r="J38" s="1" t="s">
        <v>57</v>
      </c>
      <c r="K38">
        <f>+L38*B2</f>
        <v>1294942.1115476035</v>
      </c>
      <c r="L38" s="17">
        <f>SQRT(R38)</f>
        <v>206095.9561286611</v>
      </c>
      <c r="M38" s="1" t="s">
        <v>43</v>
      </c>
      <c r="N38" s="1" t="s">
        <v>52</v>
      </c>
      <c r="O38" s="1" t="s">
        <v>51</v>
      </c>
      <c r="P38" s="1" t="s">
        <v>45</v>
      </c>
      <c r="Q38" s="1" t="s">
        <v>51</v>
      </c>
      <c r="R38">
        <f>+G38/B2</f>
        <v>42475543132.587006</v>
      </c>
    </row>
    <row r="39" spans="7:17" ht="18.75">
      <c r="G39">
        <f>+K39*L39*L39</f>
        <v>266882332610.67065</v>
      </c>
      <c r="I39" s="18" t="s">
        <v>68</v>
      </c>
      <c r="J39">
        <v>0.020807</v>
      </c>
      <c r="K39">
        <f>+J39*A2*B2</f>
        <v>19557609.078464687</v>
      </c>
      <c r="L39" s="17">
        <f>+K39/M39</f>
        <v>116.81591950805769</v>
      </c>
      <c r="M39">
        <f>+N39*C2</f>
        <v>167422.464</v>
      </c>
      <c r="N39">
        <v>1.93776</v>
      </c>
      <c r="O39">
        <f>+N39/D2</f>
        <v>0.005305297741273101</v>
      </c>
      <c r="P39">
        <f>+F2*0.0188</f>
        <v>3.5701200000000003E+25</v>
      </c>
      <c r="Q39" s="17">
        <f>+P39/H2</f>
        <v>15000504.201680673</v>
      </c>
    </row>
    <row r="40" spans="7:17" ht="18.75">
      <c r="G40">
        <f>+K40*L40*L40</f>
        <v>266866043546.76318</v>
      </c>
      <c r="I40" s="18" t="s">
        <v>69</v>
      </c>
      <c r="J40">
        <v>0.13022</v>
      </c>
      <c r="K40">
        <f>+J40*A2*B2</f>
        <v>122400723.51601247</v>
      </c>
      <c r="L40" s="17">
        <f>+K40/M40</f>
        <v>46.69331050410642</v>
      </c>
      <c r="M40">
        <f>+N40*C2</f>
        <v>2621376</v>
      </c>
      <c r="N40">
        <v>30.34</v>
      </c>
      <c r="O40">
        <f>+N40/D2</f>
        <v>0.08306639288158796</v>
      </c>
      <c r="P40">
        <f>+F2*0.619</f>
        <v>1.175481E+27</v>
      </c>
      <c r="Q40" s="17">
        <f>+P40/H2</f>
        <v>493899579.8319328</v>
      </c>
    </row>
    <row r="41" spans="7:17" ht="18.75">
      <c r="G41">
        <f>+K41*L41*L41</f>
        <v>266860566344.1389</v>
      </c>
      <c r="I41" s="18" t="s">
        <v>40</v>
      </c>
      <c r="J41">
        <v>0.2073</v>
      </c>
      <c r="K41">
        <f>+J41*A2*B2</f>
        <v>194852326.7153232</v>
      </c>
      <c r="L41" s="17">
        <f>+K41/M41</f>
        <v>37.00747067457882</v>
      </c>
      <c r="M41">
        <f>+N41*C2</f>
        <v>5265216</v>
      </c>
      <c r="N41">
        <v>60.94</v>
      </c>
      <c r="O41">
        <f>+N41/D2</f>
        <v>0.16684462696783026</v>
      </c>
      <c r="P41">
        <f>+F2*1.93</f>
        <v>3.66507E+27</v>
      </c>
      <c r="Q41" s="17">
        <f>+P41/H2</f>
        <v>1539945378.1512604</v>
      </c>
    </row>
    <row r="42" spans="7:17" ht="18.75">
      <c r="G42">
        <f>+K42*L42*L42</f>
        <v>266888632668.00204</v>
      </c>
      <c r="I42" s="18" t="s">
        <v>70</v>
      </c>
      <c r="J42">
        <v>0.33335</v>
      </c>
      <c r="K42">
        <f>+J42*A2*B2</f>
        <v>313333444.8169464</v>
      </c>
      <c r="L42" s="17">
        <f>+K42/M42</f>
        <v>29.185131982907926</v>
      </c>
      <c r="M42">
        <f>+N42*C2</f>
        <v>10736064</v>
      </c>
      <c r="N42">
        <v>124.26</v>
      </c>
      <c r="O42">
        <f>+N42/D2</f>
        <v>0.3402053388090349</v>
      </c>
      <c r="P42">
        <f>+F2*0.046</f>
        <v>8.7354E+25</v>
      </c>
      <c r="Q42" s="17">
        <f>+P42/H2</f>
        <v>36703361.34453782</v>
      </c>
    </row>
    <row r="43" spans="7:18" ht="18.75">
      <c r="G43">
        <f>+K43*L43*L43</f>
        <v>266882332610.6707</v>
      </c>
      <c r="I43" s="18" t="s">
        <v>41</v>
      </c>
      <c r="J43" s="17">
        <f>+K43/A2/B2</f>
        <v>1.3776663807356422</v>
      </c>
      <c r="K43">
        <f>+K38*1000</f>
        <v>1294942111.5476036</v>
      </c>
      <c r="L43" s="17">
        <f>SQRT(R43)</f>
        <v>14.356042495362749</v>
      </c>
      <c r="M43">
        <f>+K43/L43</f>
        <v>90201886.20686324</v>
      </c>
      <c r="N43">
        <f>+M43/C2</f>
        <v>1044.0033125794357</v>
      </c>
      <c r="O43" s="3">
        <f>+N43/D2</f>
        <v>2.8583252911141295</v>
      </c>
      <c r="P43" s="1" t="s">
        <v>51</v>
      </c>
      <c r="Q43" s="1" t="s">
        <v>52</v>
      </c>
      <c r="R43">
        <f>+G38/K43</f>
        <v>206.09595612866107</v>
      </c>
    </row>
    <row r="44" spans="1:18" ht="18.75">
      <c r="A44" s="9" t="s">
        <v>10</v>
      </c>
      <c r="B44" s="9" t="s">
        <v>11</v>
      </c>
      <c r="C44" s="9" t="s">
        <v>12</v>
      </c>
      <c r="D44" s="9" t="s">
        <v>13</v>
      </c>
      <c r="E44" s="9" t="s">
        <v>14</v>
      </c>
      <c r="F44" s="9" t="s">
        <v>15</v>
      </c>
      <c r="G44" s="9" t="s">
        <v>16</v>
      </c>
      <c r="H44" s="9" t="s">
        <v>17</v>
      </c>
      <c r="I44" s="14" t="s">
        <v>18</v>
      </c>
      <c r="J44" s="14" t="s">
        <v>19</v>
      </c>
      <c r="K44" s="14" t="s">
        <v>20</v>
      </c>
      <c r="L44" s="14" t="s">
        <v>21</v>
      </c>
      <c r="M44" s="14" t="s">
        <v>22</v>
      </c>
      <c r="N44" s="14" t="s">
        <v>23</v>
      </c>
      <c r="O44" s="14" t="s">
        <v>24</v>
      </c>
      <c r="P44" s="14" t="s">
        <v>25</v>
      </c>
      <c r="Q44" s="14" t="s">
        <v>26</v>
      </c>
      <c r="R44" s="13" t="s">
        <v>27</v>
      </c>
    </row>
    <row r="45" spans="1:18" ht="18.75">
      <c r="A45" s="11"/>
      <c r="B45" s="11"/>
      <c r="C45" s="11" t="s">
        <v>28</v>
      </c>
      <c r="D45" s="12" t="s">
        <v>29</v>
      </c>
      <c r="E45" s="12"/>
      <c r="F45" s="11" t="s">
        <v>30</v>
      </c>
      <c r="G45" s="11" t="s">
        <v>31</v>
      </c>
      <c r="H45" s="11" t="s">
        <v>32</v>
      </c>
      <c r="I45" s="14" t="s">
        <v>33</v>
      </c>
      <c r="J45" s="10" t="s">
        <v>34</v>
      </c>
      <c r="K45" s="14" t="s">
        <v>31</v>
      </c>
      <c r="L45" s="14" t="s">
        <v>35</v>
      </c>
      <c r="M45" s="15"/>
      <c r="N45" s="10" t="s">
        <v>34</v>
      </c>
      <c r="O45" s="15"/>
      <c r="P45" s="10" t="s">
        <v>34</v>
      </c>
      <c r="Q45" s="15"/>
      <c r="R45" s="1"/>
    </row>
    <row r="46" spans="1:18" ht="18.75">
      <c r="A46" s="17" t="s">
        <v>71</v>
      </c>
      <c r="B46" s="17" t="s">
        <v>64</v>
      </c>
      <c r="C46" s="17">
        <v>108.58</v>
      </c>
      <c r="D46" s="17">
        <f>+G46*H2</f>
        <v>2.587567608466968E+30</v>
      </c>
      <c r="E46" s="17">
        <f>+D46/E2</f>
        <v>1.3009389685605672</v>
      </c>
      <c r="F46" s="17">
        <f>+H2/(G46*L46)</f>
        <v>5.2625383739287805</v>
      </c>
      <c r="G46" s="17">
        <f>+K47*L47*L47</f>
        <v>1087213280868.4739</v>
      </c>
      <c r="H46" s="17">
        <f>+G46/A2/B2</f>
        <v>1156.6672922172029</v>
      </c>
      <c r="I46" s="18" t="s">
        <v>39</v>
      </c>
      <c r="J46" s="1" t="s">
        <v>43</v>
      </c>
      <c r="K46">
        <f>+L46*B2</f>
        <v>2613652.3269847496</v>
      </c>
      <c r="L46" s="17">
        <f>SQRT(R46)</f>
        <v>415974.71463342715</v>
      </c>
      <c r="M46" s="1" t="s">
        <v>51</v>
      </c>
      <c r="N46" s="1" t="s">
        <v>51</v>
      </c>
      <c r="O46" s="1" t="s">
        <v>44</v>
      </c>
      <c r="P46" s="1" t="s">
        <v>51</v>
      </c>
      <c r="Q46" s="1" t="s">
        <v>50</v>
      </c>
      <c r="R46">
        <f>+G46/B2</f>
        <v>173034963214.36115</v>
      </c>
    </row>
    <row r="47" spans="9:17" ht="18.75">
      <c r="I47" s="18" t="s">
        <v>40</v>
      </c>
      <c r="J47">
        <v>2.561</v>
      </c>
      <c r="K47">
        <f>+J47*A2*B2</f>
        <v>2407220495.5038238</v>
      </c>
      <c r="L47" s="17">
        <f>+K47/M47</f>
        <v>21.25198194324222</v>
      </c>
      <c r="M47">
        <f>+N47*C2</f>
        <v>113270400</v>
      </c>
      <c r="N47">
        <v>1311</v>
      </c>
      <c r="O47">
        <f>+N47/D2</f>
        <v>3.589322381930185</v>
      </c>
      <c r="P47">
        <f>+F2*1.23</f>
        <v>2.33577E+27</v>
      </c>
      <c r="Q47" s="17">
        <f>+P47/H2</f>
        <v>981415966.3865546</v>
      </c>
    </row>
    <row r="48" spans="9:18" ht="18.75">
      <c r="I48" s="18" t="s">
        <v>41</v>
      </c>
      <c r="J48" s="17">
        <f>+K48/A2/B2</f>
        <v>2.7806192336390034</v>
      </c>
      <c r="K48">
        <f>+K46*1000</f>
        <v>2613652326.98475</v>
      </c>
      <c r="L48" s="17">
        <f>SQRT(R48)</f>
        <v>20.395458186405794</v>
      </c>
      <c r="M48">
        <f>+K48/L48</f>
        <v>128148742.87682492</v>
      </c>
      <c r="N48">
        <f>+M48/C2</f>
        <v>1483.203042555844</v>
      </c>
      <c r="O48" s="3">
        <f>+N48/D2</f>
        <v>4.060788617538245</v>
      </c>
      <c r="P48" s="1" t="s">
        <v>45</v>
      </c>
      <c r="Q48" s="1" t="s">
        <v>57</v>
      </c>
      <c r="R48">
        <f>+G46/K48</f>
        <v>415.9747146334271</v>
      </c>
    </row>
    <row r="49" spans="1:18" ht="18.75">
      <c r="A49" s="9" t="s">
        <v>10</v>
      </c>
      <c r="B49" s="9" t="s">
        <v>11</v>
      </c>
      <c r="C49" s="9" t="s">
        <v>12</v>
      </c>
      <c r="D49" s="9" t="s">
        <v>13</v>
      </c>
      <c r="E49" s="9" t="s">
        <v>14</v>
      </c>
      <c r="F49" s="9" t="s">
        <v>15</v>
      </c>
      <c r="G49" s="9" t="s">
        <v>16</v>
      </c>
      <c r="H49" s="9" t="s">
        <v>17</v>
      </c>
      <c r="I49" s="14" t="s">
        <v>18</v>
      </c>
      <c r="J49" s="14" t="s">
        <v>19</v>
      </c>
      <c r="K49" s="14" t="s">
        <v>20</v>
      </c>
      <c r="L49" s="14" t="s">
        <v>21</v>
      </c>
      <c r="M49" s="14" t="s">
        <v>22</v>
      </c>
      <c r="N49" s="14" t="s">
        <v>23</v>
      </c>
      <c r="O49" s="14" t="s">
        <v>24</v>
      </c>
      <c r="P49" s="14" t="s">
        <v>25</v>
      </c>
      <c r="Q49" s="14" t="s">
        <v>26</v>
      </c>
      <c r="R49" s="13" t="s">
        <v>27</v>
      </c>
    </row>
    <row r="50" spans="1:18" ht="18.75">
      <c r="A50" s="11"/>
      <c r="B50" s="11"/>
      <c r="C50" s="11" t="s">
        <v>28</v>
      </c>
      <c r="D50" s="12" t="s">
        <v>29</v>
      </c>
      <c r="E50" s="12"/>
      <c r="F50" s="11" t="s">
        <v>30</v>
      </c>
      <c r="G50" s="11" t="s">
        <v>31</v>
      </c>
      <c r="H50" s="11" t="s">
        <v>32</v>
      </c>
      <c r="I50" s="14" t="s">
        <v>33</v>
      </c>
      <c r="J50" s="10" t="s">
        <v>34</v>
      </c>
      <c r="K50" s="14" t="s">
        <v>31</v>
      </c>
      <c r="L50" s="14" t="s">
        <v>35</v>
      </c>
      <c r="M50" s="15"/>
      <c r="N50" s="10" t="s">
        <v>34</v>
      </c>
      <c r="O50" s="15"/>
      <c r="P50" s="10" t="s">
        <v>34</v>
      </c>
      <c r="Q50" s="15"/>
      <c r="R50" s="1"/>
    </row>
    <row r="51" spans="1:18" ht="18.75">
      <c r="A51" s="17" t="s">
        <v>72</v>
      </c>
      <c r="B51" s="17" t="s">
        <v>73</v>
      </c>
      <c r="C51" s="17">
        <v>86.43</v>
      </c>
      <c r="D51" s="17">
        <f>+G51*H2</f>
        <v>2.684102961534673E+30</v>
      </c>
      <c r="E51" s="17">
        <f>+D51/E2</f>
        <v>1.349473585487518</v>
      </c>
      <c r="F51" s="17">
        <f>+H2/(G51*L51)</f>
        <v>4.981201127557647</v>
      </c>
      <c r="G51" s="17">
        <f>+K52*L52*L52</f>
        <v>1127774353585.997</v>
      </c>
      <c r="H51" s="17">
        <f>+G51/A2/B2</f>
        <v>1199.8195117266316</v>
      </c>
      <c r="I51" s="18" t="s">
        <v>39</v>
      </c>
      <c r="J51" s="1" t="s">
        <v>50</v>
      </c>
      <c r="K51">
        <f>+L51*B2</f>
        <v>2661960.1459172033</v>
      </c>
      <c r="L51" s="17">
        <f>SQRT(R51)</f>
        <v>423663.12482766795</v>
      </c>
      <c r="M51" s="1" t="s">
        <v>74</v>
      </c>
      <c r="N51" s="1" t="s">
        <v>51</v>
      </c>
      <c r="O51" s="1" t="s">
        <v>50</v>
      </c>
      <c r="P51" s="1" t="s">
        <v>47</v>
      </c>
      <c r="Q51" s="1" t="s">
        <v>52</v>
      </c>
      <c r="R51">
        <f>+G51/B2</f>
        <v>179490443338.74414</v>
      </c>
    </row>
    <row r="52" spans="9:17" ht="18.75">
      <c r="I52" s="18" t="s">
        <v>40</v>
      </c>
      <c r="J52">
        <v>2.57</v>
      </c>
      <c r="K52">
        <f>+J52*A2*B2</f>
        <v>2415680075.5348797</v>
      </c>
      <c r="L52" s="17">
        <f>+K52/M52</f>
        <v>21.606847089262406</v>
      </c>
      <c r="M52">
        <f>+N52*C2</f>
        <v>111801600</v>
      </c>
      <c r="N52">
        <v>1294</v>
      </c>
      <c r="O52">
        <f>+N52/D2</f>
        <v>3.542778918548939</v>
      </c>
      <c r="P52">
        <f>+F2*2.1</f>
        <v>3.9879E+27</v>
      </c>
      <c r="Q52" s="17">
        <f>+P52/H2</f>
        <v>1675588235.2941177</v>
      </c>
    </row>
    <row r="53" spans="9:18" ht="18.75">
      <c r="I53" s="18" t="s">
        <v>41</v>
      </c>
      <c r="J53" s="17">
        <f>+K53/A2/B2</f>
        <v>2.8320130816546247</v>
      </c>
      <c r="K53">
        <f>+K51*1000</f>
        <v>2661960145.9172034</v>
      </c>
      <c r="L53" s="17">
        <f>SQRT(R53)</f>
        <v>20.5830786042241</v>
      </c>
      <c r="M53">
        <f>+K53/L53</f>
        <v>129327599.48606089</v>
      </c>
      <c r="N53">
        <f>+M53/C2</f>
        <v>1496.8472162738528</v>
      </c>
      <c r="O53" s="3">
        <f>+N53/D2</f>
        <v>4.098144329291863</v>
      </c>
      <c r="P53" s="1" t="s">
        <v>43</v>
      </c>
      <c r="Q53" s="1" t="s">
        <v>75</v>
      </c>
      <c r="R53">
        <f>+G51/K53</f>
        <v>423.66312482766784</v>
      </c>
    </row>
    <row r="54" spans="1:18" ht="18.75">
      <c r="A54" s="9" t="s">
        <v>10</v>
      </c>
      <c r="B54" s="9" t="s">
        <v>11</v>
      </c>
      <c r="C54" s="9" t="s">
        <v>12</v>
      </c>
      <c r="D54" s="9" t="s">
        <v>13</v>
      </c>
      <c r="E54" s="9" t="s">
        <v>14</v>
      </c>
      <c r="F54" s="9" t="s">
        <v>15</v>
      </c>
      <c r="G54" s="9" t="s">
        <v>16</v>
      </c>
      <c r="H54" s="9" t="s">
        <v>17</v>
      </c>
      <c r="I54" s="14" t="s">
        <v>18</v>
      </c>
      <c r="J54" s="14" t="s">
        <v>19</v>
      </c>
      <c r="K54" s="14" t="s">
        <v>20</v>
      </c>
      <c r="L54" s="14" t="s">
        <v>21</v>
      </c>
      <c r="M54" s="14" t="s">
        <v>22</v>
      </c>
      <c r="N54" s="14" t="s">
        <v>23</v>
      </c>
      <c r="O54" s="14" t="s">
        <v>24</v>
      </c>
      <c r="P54" s="14" t="s">
        <v>25</v>
      </c>
      <c r="Q54" s="14" t="s">
        <v>26</v>
      </c>
      <c r="R54" s="13" t="s">
        <v>27</v>
      </c>
    </row>
    <row r="55" spans="1:18" ht="18.75">
      <c r="A55" s="11"/>
      <c r="B55" s="11"/>
      <c r="C55" s="11" t="s">
        <v>28</v>
      </c>
      <c r="D55" s="12" t="s">
        <v>29</v>
      </c>
      <c r="E55" s="12"/>
      <c r="F55" s="11" t="s">
        <v>30</v>
      </c>
      <c r="G55" s="11" t="s">
        <v>31</v>
      </c>
      <c r="H55" s="11" t="s">
        <v>32</v>
      </c>
      <c r="I55" s="14" t="s">
        <v>33</v>
      </c>
      <c r="J55" s="10" t="s">
        <v>34</v>
      </c>
      <c r="K55" s="14" t="s">
        <v>31</v>
      </c>
      <c r="L55" s="14" t="s">
        <v>35</v>
      </c>
      <c r="M55" s="15"/>
      <c r="N55" s="10" t="s">
        <v>34</v>
      </c>
      <c r="O55" s="15"/>
      <c r="P55" s="10" t="s">
        <v>34</v>
      </c>
      <c r="Q55" s="15"/>
      <c r="R55" s="1"/>
    </row>
    <row r="56" spans="1:18" ht="18.75">
      <c r="A56" s="17" t="s">
        <v>76</v>
      </c>
      <c r="B56" s="17" t="s">
        <v>77</v>
      </c>
      <c r="C56" s="17">
        <v>123.5</v>
      </c>
      <c r="D56" s="17">
        <f>+G56*H2</f>
        <v>1.8368416520278867E+30</v>
      </c>
      <c r="E56" s="17">
        <f>+D56/E2</f>
        <v>0.9235000764343322</v>
      </c>
      <c r="F56" s="17">
        <f>+H2/(G56*L56)</f>
        <v>8.798836674684308</v>
      </c>
      <c r="G56" s="17">
        <f>+K57*L57*L57</f>
        <v>771782206734.4061</v>
      </c>
      <c r="H56" s="17">
        <f>+G56/A2/B2</f>
        <v>821.085660885058</v>
      </c>
      <c r="I56" s="18" t="s">
        <v>39</v>
      </c>
      <c r="J56" s="1" t="s">
        <v>59</v>
      </c>
      <c r="K56">
        <f>+L56*B2</f>
        <v>2202103.9851364014</v>
      </c>
      <c r="L56" s="17">
        <f>SQRT(R56)</f>
        <v>350474.91487401346</v>
      </c>
      <c r="M56" s="1" t="s">
        <v>78</v>
      </c>
      <c r="N56" s="1" t="s">
        <v>44</v>
      </c>
      <c r="O56" s="1" t="s">
        <v>51</v>
      </c>
      <c r="P56" s="1" t="s">
        <v>47</v>
      </c>
      <c r="Q56" s="1" t="s">
        <v>45</v>
      </c>
      <c r="R56">
        <f>+G56/B2</f>
        <v>122832665955.94699</v>
      </c>
    </row>
    <row r="57" spans="9:17" ht="18.75">
      <c r="I57" s="18" t="s">
        <v>40</v>
      </c>
      <c r="J57">
        <v>0.46</v>
      </c>
      <c r="K57">
        <f>+J57*A2*B2</f>
        <v>432378534.92064</v>
      </c>
      <c r="L57" s="17">
        <f>+K57/M57</f>
        <v>42.2488914412082</v>
      </c>
      <c r="M57">
        <f>+N57*C2</f>
        <v>10234080</v>
      </c>
      <c r="N57">
        <v>118.45</v>
      </c>
      <c r="O57">
        <f>+N57/D2</f>
        <v>0.3242984257357974</v>
      </c>
      <c r="P57">
        <f>+F2*0.65</f>
        <v>1.23435E+27</v>
      </c>
      <c r="Q57" s="17">
        <f>+P57/H2</f>
        <v>518634453.7815126</v>
      </c>
    </row>
    <row r="58" spans="9:18" ht="18.75">
      <c r="I58" s="18" t="s">
        <v>41</v>
      </c>
      <c r="J58">
        <f>+K58/A2/B2</f>
        <v>2.3427801136073225</v>
      </c>
      <c r="K58">
        <f>+K56*1000</f>
        <v>2202103985.136401</v>
      </c>
      <c r="L58" s="17">
        <f>SQRT(R58)</f>
        <v>18.720975265033964</v>
      </c>
      <c r="M58">
        <f>+K58/L58</f>
        <v>117627631.78526138</v>
      </c>
      <c r="N58">
        <f>+M58/C2</f>
        <v>1361.4309234405252</v>
      </c>
      <c r="O58" s="3">
        <f>+N58/D2</f>
        <v>3.7273947253676254</v>
      </c>
      <c r="P58" s="1" t="s">
        <v>74</v>
      </c>
      <c r="Q58" s="1" t="s">
        <v>57</v>
      </c>
      <c r="R58">
        <f>+G56/K58</f>
        <v>350.4749148740135</v>
      </c>
    </row>
    <row r="59" spans="1:18" ht="18.75">
      <c r="A59" s="9" t="s">
        <v>10</v>
      </c>
      <c r="B59" s="9" t="s">
        <v>11</v>
      </c>
      <c r="C59" s="9" t="s">
        <v>12</v>
      </c>
      <c r="D59" s="9" t="s">
        <v>13</v>
      </c>
      <c r="E59" s="9" t="s">
        <v>14</v>
      </c>
      <c r="F59" s="9" t="s">
        <v>15</v>
      </c>
      <c r="G59" s="9" t="s">
        <v>16</v>
      </c>
      <c r="H59" s="9" t="s">
        <v>17</v>
      </c>
      <c r="I59" s="14" t="s">
        <v>18</v>
      </c>
      <c r="J59" s="14" t="s">
        <v>19</v>
      </c>
      <c r="K59" s="14" t="s">
        <v>20</v>
      </c>
      <c r="L59" s="14" t="s">
        <v>21</v>
      </c>
      <c r="M59" s="14" t="s">
        <v>22</v>
      </c>
      <c r="N59" s="14" t="s">
        <v>23</v>
      </c>
      <c r="O59" s="14" t="s">
        <v>24</v>
      </c>
      <c r="P59" s="14" t="s">
        <v>25</v>
      </c>
      <c r="Q59" s="14" t="s">
        <v>26</v>
      </c>
      <c r="R59" s="13" t="s">
        <v>27</v>
      </c>
    </row>
    <row r="60" spans="1:18" ht="18.75">
      <c r="A60" s="11"/>
      <c r="B60" s="11"/>
      <c r="C60" s="11" t="s">
        <v>28</v>
      </c>
      <c r="D60" s="12" t="s">
        <v>29</v>
      </c>
      <c r="E60" s="12"/>
      <c r="F60" s="11" t="s">
        <v>30</v>
      </c>
      <c r="G60" s="11" t="s">
        <v>31</v>
      </c>
      <c r="H60" s="11" t="s">
        <v>32</v>
      </c>
      <c r="I60" s="14" t="s">
        <v>33</v>
      </c>
      <c r="J60" s="10" t="s">
        <v>34</v>
      </c>
      <c r="K60" s="14" t="s">
        <v>31</v>
      </c>
      <c r="L60" s="14" t="s">
        <v>35</v>
      </c>
      <c r="M60" s="15"/>
      <c r="N60" s="10" t="s">
        <v>34</v>
      </c>
      <c r="O60" s="15"/>
      <c r="P60" s="10" t="s">
        <v>34</v>
      </c>
      <c r="Q60" s="15"/>
      <c r="R60" s="1"/>
    </row>
    <row r="61" spans="1:18" ht="18.75">
      <c r="A61" s="17" t="s">
        <v>79</v>
      </c>
      <c r="B61" s="17" t="s">
        <v>38</v>
      </c>
      <c r="C61" s="17">
        <v>50.1</v>
      </c>
      <c r="D61" s="17">
        <f>+G61*H2</f>
        <v>2.165001929382064E+30</v>
      </c>
      <c r="E61" s="17">
        <f>+D61/E2</f>
        <v>1.0884876467481468</v>
      </c>
      <c r="F61" s="17">
        <f>+H2/(G61*L61)</f>
        <v>6.876150965428556</v>
      </c>
      <c r="G61" s="17">
        <f>+K62*L62*L62</f>
        <v>909664676210.9513</v>
      </c>
      <c r="H61" s="17">
        <f>+G61/A2/B2</f>
        <v>967.7764210331125</v>
      </c>
      <c r="I61" s="18" t="s">
        <v>39</v>
      </c>
      <c r="J61" s="1" t="s">
        <v>44</v>
      </c>
      <c r="K61">
        <f>+L61*B2</f>
        <v>2390733.170717437</v>
      </c>
      <c r="L61" s="17">
        <f>SQRT(R61)</f>
        <v>380496.1119680158</v>
      </c>
      <c r="M61" s="1" t="s">
        <v>45</v>
      </c>
      <c r="N61" s="1" t="s">
        <v>51</v>
      </c>
      <c r="O61" s="1" t="s">
        <v>51</v>
      </c>
      <c r="P61" s="1" t="s">
        <v>44</v>
      </c>
      <c r="Q61" s="1" t="s">
        <v>74</v>
      </c>
      <c r="R61">
        <f>+G61/B2</f>
        <v>144777291222.77682</v>
      </c>
    </row>
    <row r="62" spans="9:17" ht="18.75">
      <c r="I62" s="18" t="s">
        <v>40</v>
      </c>
      <c r="J62">
        <v>0.0527</v>
      </c>
      <c r="K62">
        <f>+J62*A2*B2</f>
        <v>49535540.8485168</v>
      </c>
      <c r="L62" s="17">
        <f>+K62/M62</f>
        <v>135.51339032355827</v>
      </c>
      <c r="M62">
        <f>+N62*C2</f>
        <v>365539.824</v>
      </c>
      <c r="N62">
        <v>4.230785</v>
      </c>
      <c r="O62">
        <f>+N62/D2</f>
        <v>0.011583258042436687</v>
      </c>
      <c r="P62">
        <f>+F2*0.472</f>
        <v>8.96328E+26</v>
      </c>
      <c r="Q62" s="17">
        <f>+P62/H2</f>
        <v>376608403.3613446</v>
      </c>
    </row>
    <row r="63" spans="9:18" ht="18.75">
      <c r="I63" s="18" t="s">
        <v>41</v>
      </c>
      <c r="J63" s="17">
        <f>+K63/A2/B2</f>
        <v>2.543459422035994</v>
      </c>
      <c r="K63">
        <f>+K61*1000</f>
        <v>2390733170.717437</v>
      </c>
      <c r="L63" s="17">
        <f>SQRT(R63)</f>
        <v>19.50630954250485</v>
      </c>
      <c r="M63">
        <f>+K63/L63</f>
        <v>122562044.11746646</v>
      </c>
      <c r="N63">
        <f>+M63/C2</f>
        <v>1418.5421772854916</v>
      </c>
      <c r="O63" s="3">
        <f>+N63/D2</f>
        <v>3.883756816661168</v>
      </c>
      <c r="P63" s="1" t="s">
        <v>74</v>
      </c>
      <c r="Q63" s="1" t="s">
        <v>75</v>
      </c>
      <c r="R63">
        <f>+G61/K63</f>
        <v>380.49611196801584</v>
      </c>
    </row>
    <row r="64" spans="1:18" ht="18.75">
      <c r="A64" s="9" t="s">
        <v>10</v>
      </c>
      <c r="B64" s="9" t="s">
        <v>11</v>
      </c>
      <c r="C64" s="9" t="s">
        <v>12</v>
      </c>
      <c r="D64" s="9" t="s">
        <v>13</v>
      </c>
      <c r="E64" s="9" t="s">
        <v>14</v>
      </c>
      <c r="F64" s="9" t="s">
        <v>15</v>
      </c>
      <c r="G64" s="9" t="s">
        <v>16</v>
      </c>
      <c r="H64" s="9" t="s">
        <v>17</v>
      </c>
      <c r="I64" s="14" t="s">
        <v>18</v>
      </c>
      <c r="J64" s="14" t="s">
        <v>19</v>
      </c>
      <c r="K64" s="14" t="s">
        <v>20</v>
      </c>
      <c r="L64" s="14" t="s">
        <v>21</v>
      </c>
      <c r="M64" s="14" t="s">
        <v>22</v>
      </c>
      <c r="N64" s="14" t="s">
        <v>23</v>
      </c>
      <c r="O64" s="14" t="s">
        <v>24</v>
      </c>
      <c r="P64" s="14" t="s">
        <v>25</v>
      </c>
      <c r="Q64" s="14" t="s">
        <v>26</v>
      </c>
      <c r="R64" s="13" t="s">
        <v>27</v>
      </c>
    </row>
    <row r="65" spans="1:18" ht="18.75">
      <c r="A65" s="11"/>
      <c r="B65" s="11"/>
      <c r="C65" s="11" t="s">
        <v>28</v>
      </c>
      <c r="D65" s="12" t="s">
        <v>29</v>
      </c>
      <c r="E65" s="12"/>
      <c r="F65" s="11" t="s">
        <v>30</v>
      </c>
      <c r="G65" s="11" t="s">
        <v>31</v>
      </c>
      <c r="H65" s="11" t="s">
        <v>32</v>
      </c>
      <c r="I65" s="14" t="s">
        <v>33</v>
      </c>
      <c r="J65" s="10" t="s">
        <v>34</v>
      </c>
      <c r="K65" s="14" t="s">
        <v>31</v>
      </c>
      <c r="L65" s="14" t="s">
        <v>35</v>
      </c>
      <c r="M65" s="15"/>
      <c r="N65" s="10" t="s">
        <v>34</v>
      </c>
      <c r="O65" s="15"/>
      <c r="P65" s="10" t="s">
        <v>34</v>
      </c>
      <c r="Q65" s="15"/>
      <c r="R65" s="1"/>
    </row>
    <row r="66" spans="1:18" ht="18.75">
      <c r="A66" s="17" t="s">
        <v>80</v>
      </c>
      <c r="B66" s="17" t="s">
        <v>77</v>
      </c>
      <c r="C66" s="17">
        <v>64.3</v>
      </c>
      <c r="D66" s="17">
        <f>+G66*H2</f>
        <v>2.1123320225253537E+30</v>
      </c>
      <c r="E66" s="17">
        <f>+D66/E2</f>
        <v>1.0620070500378853</v>
      </c>
      <c r="F66" s="17">
        <f>+H2/(G66*L66)</f>
        <v>7.134927430394732</v>
      </c>
      <c r="G66" s="17">
        <f>+K67*L67*L67</f>
        <v>887534463245.9469</v>
      </c>
      <c r="H66" s="17">
        <f>+G66/A2/B2</f>
        <v>944.2324725210281</v>
      </c>
      <c r="I66" s="18" t="s">
        <v>39</v>
      </c>
      <c r="J66" s="1" t="s">
        <v>74</v>
      </c>
      <c r="K66">
        <f>+L66*B2</f>
        <v>2361473.38317986</v>
      </c>
      <c r="L66" s="17">
        <f>SQRT(R66)</f>
        <v>375839.2830372836</v>
      </c>
      <c r="M66" s="1" t="s">
        <v>44</v>
      </c>
      <c r="N66" s="1" t="s">
        <v>44</v>
      </c>
      <c r="O66" s="1" t="s">
        <v>51</v>
      </c>
      <c r="P66" s="1" t="s">
        <v>51</v>
      </c>
      <c r="Q66" s="1" t="s">
        <v>43</v>
      </c>
      <c r="R66">
        <f>+G66/B2</f>
        <v>141255166673.97934</v>
      </c>
    </row>
    <row r="67" spans="7:17" ht="18.75">
      <c r="G67">
        <f>+K67*L67*L67</f>
        <v>887534463245.9469</v>
      </c>
      <c r="I67" s="18" t="s">
        <v>40</v>
      </c>
      <c r="J67">
        <v>0.074</v>
      </c>
      <c r="K67">
        <f>+J67*A2*B2</f>
        <v>69556546.922016</v>
      </c>
      <c r="L67" s="17">
        <f>+K67/M67</f>
        <v>112.9597197115467</v>
      </c>
      <c r="M67">
        <f>+N67*C2</f>
        <v>615764.16</v>
      </c>
      <c r="N67">
        <v>7.1269</v>
      </c>
      <c r="O67">
        <f>+N67/D2</f>
        <v>0.019512388774811772</v>
      </c>
      <c r="P67">
        <f>+F2*1.37</f>
        <v>2.60163E+27</v>
      </c>
      <c r="Q67" s="17">
        <f>+P67/H2</f>
        <v>1093121848.739496</v>
      </c>
    </row>
    <row r="68" spans="7:17" ht="18.75">
      <c r="G68">
        <f>+K68*L68*L68</f>
        <v>887521636952.6995</v>
      </c>
      <c r="I68" s="18" t="s">
        <v>69</v>
      </c>
      <c r="J68" s="20">
        <v>4.4754</v>
      </c>
      <c r="K68">
        <f>+J68*A2*B2</f>
        <v>4206667163.443113</v>
      </c>
      <c r="L68" s="17">
        <f>+K68/M68</f>
        <v>14.525142408909803</v>
      </c>
      <c r="M68">
        <f>+N68*C2</f>
        <v>289612800</v>
      </c>
      <c r="N68">
        <v>3352</v>
      </c>
      <c r="O68">
        <f>+N68/D2</f>
        <v>9.177275838466803</v>
      </c>
      <c r="P68">
        <f>+F2*2.5</f>
        <v>4.7475E+27</v>
      </c>
      <c r="Q68" s="17">
        <f>+P68/H2</f>
        <v>1994747899.159664</v>
      </c>
    </row>
    <row r="69" spans="9:18" ht="18.75">
      <c r="I69" s="18" t="s">
        <v>41</v>
      </c>
      <c r="J69" s="17">
        <f>+K69/A2/B2</f>
        <v>2.5123304431893554</v>
      </c>
      <c r="K69">
        <f>+K66*1000</f>
        <v>2361473383.17986</v>
      </c>
      <c r="L69" s="17">
        <f>SQRT(R69)</f>
        <v>19.386574814476216</v>
      </c>
      <c r="M69">
        <f>+K69/L69</f>
        <v>121809726.87431698</v>
      </c>
      <c r="N69">
        <f>+M69/C2</f>
        <v>1409.834801786076</v>
      </c>
      <c r="O69" s="3">
        <f>+N69/D2</f>
        <v>3.8599173217962384</v>
      </c>
      <c r="P69" s="1" t="s">
        <v>65</v>
      </c>
      <c r="Q69" s="1" t="s">
        <v>47</v>
      </c>
      <c r="R69">
        <f>+G66/K69</f>
        <v>375.8392830372835</v>
      </c>
    </row>
    <row r="70" spans="1:18" ht="18.75">
      <c r="A70" s="9" t="s">
        <v>10</v>
      </c>
      <c r="B70" s="9" t="s">
        <v>11</v>
      </c>
      <c r="C70" s="9" t="s">
        <v>12</v>
      </c>
      <c r="D70" s="9" t="s">
        <v>13</v>
      </c>
      <c r="E70" s="9" t="s">
        <v>14</v>
      </c>
      <c r="F70" s="9" t="s">
        <v>15</v>
      </c>
      <c r="G70" s="9" t="s">
        <v>16</v>
      </c>
      <c r="H70" s="9" t="s">
        <v>17</v>
      </c>
      <c r="I70" s="14" t="s">
        <v>18</v>
      </c>
      <c r="J70" s="14" t="s">
        <v>19</v>
      </c>
      <c r="K70" s="14" t="s">
        <v>20</v>
      </c>
      <c r="L70" s="14" t="s">
        <v>21</v>
      </c>
      <c r="M70" s="14" t="s">
        <v>22</v>
      </c>
      <c r="N70" s="14" t="s">
        <v>23</v>
      </c>
      <c r="O70" s="14" t="s">
        <v>24</v>
      </c>
      <c r="P70" s="14" t="s">
        <v>25</v>
      </c>
      <c r="Q70" s="14" t="s">
        <v>26</v>
      </c>
      <c r="R70" s="13" t="s">
        <v>27</v>
      </c>
    </row>
    <row r="71" spans="1:18" ht="18.75">
      <c r="A71" s="11"/>
      <c r="B71" s="11"/>
      <c r="C71" s="11" t="s">
        <v>28</v>
      </c>
      <c r="D71" s="12" t="s">
        <v>29</v>
      </c>
      <c r="E71" s="12"/>
      <c r="F71" s="11" t="s">
        <v>30</v>
      </c>
      <c r="G71" s="11" t="s">
        <v>31</v>
      </c>
      <c r="H71" s="11" t="s">
        <v>32</v>
      </c>
      <c r="I71" s="14" t="s">
        <v>33</v>
      </c>
      <c r="J71" s="10" t="s">
        <v>34</v>
      </c>
      <c r="K71" s="14" t="s">
        <v>31</v>
      </c>
      <c r="L71" s="14" t="s">
        <v>35</v>
      </c>
      <c r="M71" s="15"/>
      <c r="N71" s="10" t="s">
        <v>34</v>
      </c>
      <c r="O71" s="15"/>
      <c r="P71" s="10" t="s">
        <v>34</v>
      </c>
      <c r="Q71" s="15"/>
      <c r="R71" s="1"/>
    </row>
    <row r="72" spans="1:18" ht="18.75">
      <c r="A72" s="17" t="s">
        <v>81</v>
      </c>
      <c r="B72" s="17" t="s">
        <v>49</v>
      </c>
      <c r="C72" s="17">
        <v>148</v>
      </c>
      <c r="D72" s="17">
        <f>+G72*H2</f>
        <v>2.7234821869954672E+29</v>
      </c>
      <c r="E72" s="17">
        <f>+D72/E2</f>
        <v>0.13692720899926936</v>
      </c>
      <c r="F72" s="17">
        <f>+H2/(G72*L72)</f>
        <v>154.1153957886515</v>
      </c>
      <c r="G72" s="17">
        <f>+K73*L73*L73</f>
        <v>114432024663.6751</v>
      </c>
      <c r="H72" s="17">
        <f>+G72/A2/B2</f>
        <v>121.7422399448021</v>
      </c>
      <c r="I72" s="18" t="s">
        <v>39</v>
      </c>
      <c r="J72" s="1" t="s">
        <v>62</v>
      </c>
      <c r="K72">
        <f>+L72*B2</f>
        <v>847938.262709499</v>
      </c>
      <c r="L72" s="17">
        <f>SQRT(R72)</f>
        <v>134953.25036756732</v>
      </c>
      <c r="M72" s="1" t="s">
        <v>50</v>
      </c>
      <c r="N72" s="1" t="s">
        <v>50</v>
      </c>
      <c r="O72" s="1" t="s">
        <v>51</v>
      </c>
      <c r="P72" s="1" t="s">
        <v>51</v>
      </c>
      <c r="Q72" s="1" t="s">
        <v>44</v>
      </c>
      <c r="R72">
        <f>+G72/B2</f>
        <v>18212379784.77131</v>
      </c>
    </row>
    <row r="73" spans="1:17" ht="18.75">
      <c r="A73" s="17" t="s">
        <v>82</v>
      </c>
      <c r="I73" s="18" t="s">
        <v>83</v>
      </c>
      <c r="J73">
        <v>0.324</v>
      </c>
      <c r="K73">
        <f>+J73*A2*B2</f>
        <v>304544881.118016</v>
      </c>
      <c r="L73" s="17">
        <f>+K73/M73</f>
        <v>19.384211465794106</v>
      </c>
      <c r="M73">
        <f>+N73*C2</f>
        <v>15710976</v>
      </c>
      <c r="N73">
        <v>181.84</v>
      </c>
      <c r="O73">
        <f>+N73/D2</f>
        <v>0.4978507871321013</v>
      </c>
      <c r="P73">
        <f>+F2*2.942</f>
        <v>5.586858000000001E+27</v>
      </c>
      <c r="Q73" s="17">
        <f>+P73/H2</f>
        <v>2347419327.731093</v>
      </c>
    </row>
    <row r="74" spans="9:18" ht="18.75">
      <c r="I74" s="18" t="s">
        <v>41</v>
      </c>
      <c r="J74" s="17">
        <f>+K74/A2/B2</f>
        <v>0.9021067637364577</v>
      </c>
      <c r="K74">
        <f>+K72*1000</f>
        <v>847938262.709499</v>
      </c>
      <c r="L74" s="17">
        <f>SQRT(R74)</f>
        <v>11.616938080560098</v>
      </c>
      <c r="M74">
        <f>+K74/L74</f>
        <v>72991545.3477752</v>
      </c>
      <c r="N74">
        <f>+M74/C2</f>
        <v>844.8095526362871</v>
      </c>
      <c r="O74" s="3">
        <f>+N74/D2</f>
        <v>2.312962498661977</v>
      </c>
      <c r="P74" s="1" t="s">
        <v>51</v>
      </c>
      <c r="Q74" s="1" t="s">
        <v>50</v>
      </c>
      <c r="R74">
        <f>+G72/K74</f>
        <v>134.95325036756734</v>
      </c>
    </row>
    <row r="75" spans="1:18" ht="18.75">
      <c r="A75" s="9" t="s">
        <v>10</v>
      </c>
      <c r="B75" s="9" t="s">
        <v>11</v>
      </c>
      <c r="C75" s="9" t="s">
        <v>12</v>
      </c>
      <c r="D75" s="9" t="s">
        <v>13</v>
      </c>
      <c r="E75" s="9" t="s">
        <v>14</v>
      </c>
      <c r="F75" s="9" t="s">
        <v>15</v>
      </c>
      <c r="G75" s="9" t="s">
        <v>16</v>
      </c>
      <c r="H75" s="9" t="s">
        <v>17</v>
      </c>
      <c r="I75" s="14" t="s">
        <v>18</v>
      </c>
      <c r="J75" s="14" t="s">
        <v>19</v>
      </c>
      <c r="K75" s="14" t="s">
        <v>20</v>
      </c>
      <c r="L75" s="14" t="s">
        <v>21</v>
      </c>
      <c r="M75" s="14" t="s">
        <v>22</v>
      </c>
      <c r="N75" s="14" t="s">
        <v>23</v>
      </c>
      <c r="O75" s="14" t="s">
        <v>24</v>
      </c>
      <c r="P75" s="14" t="s">
        <v>25</v>
      </c>
      <c r="Q75" s="14" t="s">
        <v>26</v>
      </c>
      <c r="R75" s="13" t="s">
        <v>27</v>
      </c>
    </row>
    <row r="76" spans="1:18" ht="18.75">
      <c r="A76" s="11"/>
      <c r="B76" s="11"/>
      <c r="C76" s="11" t="s">
        <v>28</v>
      </c>
      <c r="D76" s="12" t="s">
        <v>29</v>
      </c>
      <c r="E76" s="12"/>
      <c r="F76" s="11" t="s">
        <v>30</v>
      </c>
      <c r="G76" s="11" t="s">
        <v>31</v>
      </c>
      <c r="H76" s="11" t="s">
        <v>32</v>
      </c>
      <c r="I76" s="14" t="s">
        <v>33</v>
      </c>
      <c r="J76" s="10" t="s">
        <v>34</v>
      </c>
      <c r="K76" s="14" t="s">
        <v>31</v>
      </c>
      <c r="L76" s="14" t="s">
        <v>35</v>
      </c>
      <c r="M76" s="15"/>
      <c r="N76" s="10" t="s">
        <v>34</v>
      </c>
      <c r="O76" s="15"/>
      <c r="P76" s="10" t="s">
        <v>34</v>
      </c>
      <c r="Q76" s="15"/>
      <c r="R76" s="1"/>
    </row>
    <row r="77" spans="1:18" ht="18.75">
      <c r="A77" s="17" t="s">
        <v>84</v>
      </c>
      <c r="B77" s="17" t="s">
        <v>38</v>
      </c>
      <c r="C77" s="17">
        <v>265</v>
      </c>
      <c r="D77" s="17">
        <f>+G77*H2</f>
        <v>2.533304821185744E+30</v>
      </c>
      <c r="E77" s="17">
        <f>+D77/E2</f>
        <v>1.2736575269913244</v>
      </c>
      <c r="F77" s="17">
        <f>+H2/(G77*L77)</f>
        <v>5.432524081414335</v>
      </c>
      <c r="G77" s="17">
        <f>+K78*L78*L78</f>
        <v>1064413790414.1782</v>
      </c>
      <c r="H77" s="17">
        <f>+G77/A2/B2</f>
        <v>1132.4113110295593</v>
      </c>
      <c r="I77" s="18" t="s">
        <v>39</v>
      </c>
      <c r="J77" s="1" t="s">
        <v>50</v>
      </c>
      <c r="K77">
        <f>+L77*B2</f>
        <v>2586102.2268909565</v>
      </c>
      <c r="L77" s="17">
        <f>SQRT(R77)</f>
        <v>411589.9902742164</v>
      </c>
      <c r="M77" s="1" t="s">
        <v>85</v>
      </c>
      <c r="N77" s="1" t="s">
        <v>51</v>
      </c>
      <c r="O77" s="1" t="s">
        <v>50</v>
      </c>
      <c r="P77" s="1" t="s">
        <v>57</v>
      </c>
      <c r="Q77" s="1" t="s">
        <v>43</v>
      </c>
      <c r="R77">
        <f>+G77/B2</f>
        <v>169406320093.92957</v>
      </c>
    </row>
    <row r="78" spans="9:17" ht="18.75">
      <c r="I78" s="18" t="s">
        <v>40</v>
      </c>
      <c r="J78">
        <v>0.052</v>
      </c>
      <c r="K78">
        <f>+J78*A2*B2</f>
        <v>48877573.51276799</v>
      </c>
      <c r="L78" s="17">
        <f>+K78/M78</f>
        <v>147.5707985907859</v>
      </c>
      <c r="M78">
        <f>+N78*C2</f>
        <v>331214.39999999997</v>
      </c>
      <c r="N78">
        <v>3.8335</v>
      </c>
      <c r="O78">
        <f>+N78/D2</f>
        <v>0.01049555099247091</v>
      </c>
      <c r="P78">
        <f>+F2*0.066</f>
        <v>1.25334E+26</v>
      </c>
      <c r="Q78" s="17">
        <f>+P78/H2</f>
        <v>52661344.537815124</v>
      </c>
    </row>
    <row r="79" spans="9:18" ht="18.75">
      <c r="I79" s="18" t="s">
        <v>41</v>
      </c>
      <c r="J79" s="17">
        <f>+K79/A2/B2</f>
        <v>2.751309161515578</v>
      </c>
      <c r="K79">
        <f>+K77*1000</f>
        <v>2586102226.8909564</v>
      </c>
      <c r="L79" s="17">
        <f>SQRT(R79)</f>
        <v>20.287680751486022</v>
      </c>
      <c r="M79">
        <f>+K79/L79</f>
        <v>127471555.69773696</v>
      </c>
      <c r="N79">
        <f>+M79/C2</f>
        <v>1475.3652279830667</v>
      </c>
      <c r="O79" s="3">
        <f>+N79/D2</f>
        <v>4.0393298507407716</v>
      </c>
      <c r="P79" s="1" t="s">
        <v>59</v>
      </c>
      <c r="Q79" s="1" t="s">
        <v>86</v>
      </c>
      <c r="R79">
        <f>+G77/K79</f>
        <v>411.58999027421646</v>
      </c>
    </row>
    <row r="80" spans="1:18" ht="18.75">
      <c r="A80" s="9" t="s">
        <v>10</v>
      </c>
      <c r="B80" s="9" t="s">
        <v>11</v>
      </c>
      <c r="C80" s="9" t="s">
        <v>12</v>
      </c>
      <c r="D80" s="9" t="s">
        <v>13</v>
      </c>
      <c r="E80" s="9" t="s">
        <v>14</v>
      </c>
      <c r="F80" s="9" t="s">
        <v>15</v>
      </c>
      <c r="G80" s="9" t="s">
        <v>16</v>
      </c>
      <c r="H80" s="9" t="s">
        <v>17</v>
      </c>
      <c r="I80" s="14" t="s">
        <v>18</v>
      </c>
      <c r="J80" s="14" t="s">
        <v>19</v>
      </c>
      <c r="K80" s="14" t="s">
        <v>20</v>
      </c>
      <c r="L80" s="14" t="s">
        <v>21</v>
      </c>
      <c r="M80" s="14" t="s">
        <v>22</v>
      </c>
      <c r="N80" s="14" t="s">
        <v>23</v>
      </c>
      <c r="O80" s="14" t="s">
        <v>24</v>
      </c>
      <c r="P80" s="14" t="s">
        <v>25</v>
      </c>
      <c r="Q80" s="14" t="s">
        <v>26</v>
      </c>
      <c r="R80" s="13" t="s">
        <v>27</v>
      </c>
    </row>
    <row r="81" spans="1:18" ht="18.75">
      <c r="A81" s="11"/>
      <c r="B81" s="11"/>
      <c r="C81" s="11" t="s">
        <v>28</v>
      </c>
      <c r="D81" s="12" t="s">
        <v>29</v>
      </c>
      <c r="E81" s="12"/>
      <c r="F81" s="11" t="s">
        <v>30</v>
      </c>
      <c r="G81" s="11" t="s">
        <v>31</v>
      </c>
      <c r="H81" s="11" t="s">
        <v>32</v>
      </c>
      <c r="I81" s="14" t="s">
        <v>33</v>
      </c>
      <c r="J81" s="10" t="s">
        <v>34</v>
      </c>
      <c r="K81" s="14" t="s">
        <v>31</v>
      </c>
      <c r="L81" s="14" t="s">
        <v>35</v>
      </c>
      <c r="M81" s="15"/>
      <c r="N81" s="10" t="s">
        <v>34</v>
      </c>
      <c r="O81" s="15"/>
      <c r="P81" s="10" t="s">
        <v>34</v>
      </c>
      <c r="Q81" s="15"/>
      <c r="R81" s="1"/>
    </row>
    <row r="82" spans="1:18" ht="18.75">
      <c r="A82" s="17" t="s">
        <v>87</v>
      </c>
      <c r="B82" s="17" t="s">
        <v>88</v>
      </c>
      <c r="C82" s="17">
        <v>173</v>
      </c>
      <c r="D82" s="17">
        <f>+G82*H2</f>
        <v>2.4858690569294992E+30</v>
      </c>
      <c r="E82" s="17">
        <f>+D82/E2</f>
        <v>1.2498084750776768</v>
      </c>
      <c r="F82" s="17">
        <f>+H2/(G82*L82)</f>
        <v>5.588760025108686</v>
      </c>
      <c r="G82" s="17">
        <f>+K83*L83*L83</f>
        <v>1044482797029.2013</v>
      </c>
      <c r="H82" s="17">
        <f>+G82/A2/B2</f>
        <v>1111.207073962675</v>
      </c>
      <c r="I82" s="18" t="s">
        <v>39</v>
      </c>
      <c r="J82" s="1" t="s">
        <v>65</v>
      </c>
      <c r="K82">
        <f>+L82*B2</f>
        <v>2561775.6166951624</v>
      </c>
      <c r="L82" s="17">
        <f>SQRT(R82)</f>
        <v>407718.29906658427</v>
      </c>
      <c r="M82" s="1" t="s">
        <v>85</v>
      </c>
      <c r="N82" s="1" t="s">
        <v>51</v>
      </c>
      <c r="O82" s="1" t="s">
        <v>50</v>
      </c>
      <c r="P82" s="1" t="s">
        <v>57</v>
      </c>
      <c r="Q82" s="1" t="s">
        <v>43</v>
      </c>
      <c r="R82">
        <f>+G82/B2</f>
        <v>166234211393.74863</v>
      </c>
    </row>
    <row r="83" spans="9:17" ht="18.75">
      <c r="I83" s="18" t="s">
        <v>40</v>
      </c>
      <c r="J83">
        <v>1.25</v>
      </c>
      <c r="K83">
        <f>+J83*A2*B2</f>
        <v>1174941670.98</v>
      </c>
      <c r="L83" s="17">
        <f>+K83/M83</f>
        <v>29.815527148956125</v>
      </c>
      <c r="M83">
        <f>+N83*C2</f>
        <v>39407040</v>
      </c>
      <c r="N83">
        <v>456.1</v>
      </c>
      <c r="O83">
        <f>+N83/D2</f>
        <v>1.2487337440109514</v>
      </c>
      <c r="P83">
        <f>+F2*3.09</f>
        <v>5.86791E+27</v>
      </c>
      <c r="Q83" s="17">
        <f>+P83/H2</f>
        <v>2465508403.3613443</v>
      </c>
    </row>
    <row r="84" spans="9:18" ht="18.75">
      <c r="I84" s="18" t="s">
        <v>41</v>
      </c>
      <c r="J84" s="17">
        <f>+K84/A2/B2</f>
        <v>2.725428504206539</v>
      </c>
      <c r="K84">
        <f>+K82*1000</f>
        <v>2561775616.6951623</v>
      </c>
      <c r="L84" s="17">
        <f>SQRT(R84)</f>
        <v>20.19203553549231</v>
      </c>
      <c r="M84">
        <f>+K84/L84</f>
        <v>126870597.6766053</v>
      </c>
      <c r="N84">
        <f>+M84/C2</f>
        <v>1468.4096953310798</v>
      </c>
      <c r="O84" s="3">
        <f>+N84/D2</f>
        <v>4.020286640194606</v>
      </c>
      <c r="P84" s="1" t="s">
        <v>57</v>
      </c>
      <c r="Q84" s="1" t="s">
        <v>65</v>
      </c>
      <c r="R84">
        <f>+G82/K84</f>
        <v>407.71829906658417</v>
      </c>
    </row>
    <row r="85" spans="1:18" ht="18.75">
      <c r="A85" s="9" t="s">
        <v>10</v>
      </c>
      <c r="B85" s="9" t="s">
        <v>11</v>
      </c>
      <c r="C85" s="9" t="s">
        <v>12</v>
      </c>
      <c r="D85" s="9" t="s">
        <v>13</v>
      </c>
      <c r="E85" s="9" t="s">
        <v>14</v>
      </c>
      <c r="F85" s="9" t="s">
        <v>15</v>
      </c>
      <c r="G85" s="9" t="s">
        <v>16</v>
      </c>
      <c r="H85" s="9" t="s">
        <v>17</v>
      </c>
      <c r="I85" s="14" t="s">
        <v>18</v>
      </c>
      <c r="J85" s="14" t="s">
        <v>19</v>
      </c>
      <c r="K85" s="14" t="s">
        <v>20</v>
      </c>
      <c r="L85" s="14" t="s">
        <v>21</v>
      </c>
      <c r="M85" s="14" t="s">
        <v>22</v>
      </c>
      <c r="N85" s="14" t="s">
        <v>23</v>
      </c>
      <c r="O85" s="14" t="s">
        <v>24</v>
      </c>
      <c r="P85" s="14" t="s">
        <v>25</v>
      </c>
      <c r="Q85" s="14" t="s">
        <v>26</v>
      </c>
      <c r="R85" s="13" t="s">
        <v>27</v>
      </c>
    </row>
    <row r="86" spans="1:18" ht="18.75">
      <c r="A86" s="11"/>
      <c r="B86" s="11"/>
      <c r="C86" s="11" t="s">
        <v>28</v>
      </c>
      <c r="D86" s="12" t="s">
        <v>29</v>
      </c>
      <c r="E86" s="12"/>
      <c r="F86" s="11" t="s">
        <v>30</v>
      </c>
      <c r="G86" s="11" t="s">
        <v>31</v>
      </c>
      <c r="H86" s="11" t="s">
        <v>32</v>
      </c>
      <c r="I86" s="14" t="s">
        <v>33</v>
      </c>
      <c r="J86" s="10" t="s">
        <v>34</v>
      </c>
      <c r="K86" s="14" t="s">
        <v>31</v>
      </c>
      <c r="L86" s="14" t="s">
        <v>35</v>
      </c>
      <c r="M86" s="15"/>
      <c r="N86" s="10" t="s">
        <v>34</v>
      </c>
      <c r="O86" s="15"/>
      <c r="P86" s="10" t="s">
        <v>34</v>
      </c>
      <c r="Q86" s="15"/>
      <c r="R86" s="1"/>
    </row>
    <row r="87" spans="1:18" ht="18.75">
      <c r="A87" s="17" t="s">
        <v>91</v>
      </c>
      <c r="B87" s="17" t="s">
        <v>90</v>
      </c>
      <c r="C87" s="17">
        <v>45</v>
      </c>
      <c r="D87" s="17">
        <f>+G87*H2</f>
        <v>2.773154105708272E+30</v>
      </c>
      <c r="E87" s="17">
        <f>+D87/E2</f>
        <v>1.3942454025682616</v>
      </c>
      <c r="F87" s="17">
        <f>+H2/(G87*L87)</f>
        <v>4.743204269458478</v>
      </c>
      <c r="G87" s="17">
        <f>+K88*L88*L88</f>
        <v>1165190800717.7612</v>
      </c>
      <c r="H87" s="17">
        <f>+G87/A2/B2</f>
        <v>1239.6262187912425</v>
      </c>
      <c r="I87" s="18" t="s">
        <v>97</v>
      </c>
      <c r="J87" s="1" t="s">
        <v>65</v>
      </c>
      <c r="K87">
        <f>+L87*B2</f>
        <v>2705758.0895323656</v>
      </c>
      <c r="L87" s="17">
        <f>SQRT(R87)</f>
        <v>430633.7677508858</v>
      </c>
      <c r="M87" s="1" t="s">
        <v>85</v>
      </c>
      <c r="N87" s="1" t="s">
        <v>51</v>
      </c>
      <c r="O87" s="1" t="s">
        <v>50</v>
      </c>
      <c r="P87" s="1" t="s">
        <v>57</v>
      </c>
      <c r="Q87" s="1" t="s">
        <v>43</v>
      </c>
      <c r="R87">
        <f>+G87/B2</f>
        <v>185445441927.32385</v>
      </c>
    </row>
    <row r="88" spans="1:17" ht="18.75">
      <c r="A88" s="17" t="s">
        <v>89</v>
      </c>
      <c r="G88">
        <f>+K88*L88*L88</f>
        <v>1165190800717.7612</v>
      </c>
      <c r="I88" s="18" t="s">
        <v>83</v>
      </c>
      <c r="J88">
        <v>2.044</v>
      </c>
      <c r="K88">
        <f>+J88*A2*B2</f>
        <v>1921264620.386496</v>
      </c>
      <c r="L88" s="17">
        <f>+K88/M88</f>
        <v>24.62662690733932</v>
      </c>
      <c r="M88">
        <f>+N88*C2</f>
        <v>78015744</v>
      </c>
      <c r="N88">
        <v>902.96</v>
      </c>
      <c r="O88">
        <f>+N88/D2</f>
        <v>2.4721697467488024</v>
      </c>
      <c r="P88">
        <f>+F2*1.59</f>
        <v>3.01941E+27</v>
      </c>
      <c r="Q88" s="17">
        <f>+P88/H2</f>
        <v>1268659663.8655462</v>
      </c>
    </row>
    <row r="89" spans="9:18" ht="18.75">
      <c r="I89" s="18" t="s">
        <v>94</v>
      </c>
      <c r="J89" s="17">
        <f>+K89/A2/B2</f>
        <v>2.87860895179113</v>
      </c>
      <c r="K89">
        <f>+K87*1000</f>
        <v>2705758089.5323653</v>
      </c>
      <c r="L89" s="17">
        <f>SQRT(R89)</f>
        <v>20.75171722414523</v>
      </c>
      <c r="M89">
        <f>+K89/L89</f>
        <v>130387189.66274928</v>
      </c>
      <c r="N89">
        <f>+M89/C2</f>
        <v>1509.1109914670055</v>
      </c>
      <c r="O89" s="3">
        <f>+N89/D2</f>
        <v>4.1317207158576466</v>
      </c>
      <c r="P89" s="1" t="s">
        <v>95</v>
      </c>
      <c r="Q89" s="1" t="s">
        <v>51</v>
      </c>
      <c r="R89">
        <f>+G87/K89</f>
        <v>430.63376775088585</v>
      </c>
    </row>
    <row r="90" spans="4:18" ht="18.75">
      <c r="D90" s="17">
        <f>+E2*0.4</f>
        <v>7.956E+29</v>
      </c>
      <c r="E90" s="17">
        <f>+D90/E2</f>
        <v>0.4</v>
      </c>
      <c r="F90" s="17">
        <f>+H2/(Q90/L90)</f>
        <v>60066800.75537054</v>
      </c>
      <c r="G90" s="19">
        <f>+K90*L90*L90</f>
        <v>1165480920001.5317</v>
      </c>
      <c r="H90" s="17">
        <f>+Q90/A2/B2</f>
        <v>355.6407549224252</v>
      </c>
      <c r="I90" s="18" t="s">
        <v>92</v>
      </c>
      <c r="J90">
        <v>17.42</v>
      </c>
      <c r="K90">
        <f>+J90*A2*B2</f>
        <v>16373987126.77728</v>
      </c>
      <c r="L90" s="17">
        <f>+K90/M90</f>
        <v>8.43675352746501</v>
      </c>
      <c r="M90">
        <f>+N90*C2</f>
        <v>1940792400</v>
      </c>
      <c r="N90">
        <f>+O90*D2</f>
        <v>22462.875</v>
      </c>
      <c r="O90">
        <v>61.5</v>
      </c>
      <c r="P90" s="17">
        <f>+E2*0.4</f>
        <v>7.956E+29</v>
      </c>
      <c r="Q90" s="17">
        <f>+P90/H2</f>
        <v>334285714285.7143</v>
      </c>
      <c r="R90">
        <f>+Q90/K90</f>
        <v>20.415657573043923</v>
      </c>
    </row>
    <row r="91" spans="9:18" ht="18.75">
      <c r="I91" s="18" t="s">
        <v>96</v>
      </c>
      <c r="J91" s="1" t="s">
        <v>50</v>
      </c>
      <c r="K91">
        <f>+L91*B2</f>
        <v>1449270.1611500874</v>
      </c>
      <c r="L91" s="17">
        <f>SQRT(R91)</f>
        <v>230657.9706439533</v>
      </c>
      <c r="M91" s="1" t="s">
        <v>85</v>
      </c>
      <c r="N91" s="1" t="s">
        <v>51</v>
      </c>
      <c r="O91" s="1" t="s">
        <v>50</v>
      </c>
      <c r="P91" s="1" t="s">
        <v>57</v>
      </c>
      <c r="Q91" s="1" t="s">
        <v>43</v>
      </c>
      <c r="R91">
        <f>+Q90/B2</f>
        <v>53203099421.58682</v>
      </c>
    </row>
    <row r="92" spans="9:18" ht="18.75">
      <c r="I92" s="18" t="s">
        <v>93</v>
      </c>
      <c r="J92" s="17">
        <f>+K92/A2/B2</f>
        <v>1.5418533074298002</v>
      </c>
      <c r="K92">
        <f>+K91*1000</f>
        <v>1449270161.1500874</v>
      </c>
      <c r="L92" s="17">
        <f>SQRT(R92)</f>
        <v>15.187428045721017</v>
      </c>
      <c r="M92">
        <f>+K92/L92</f>
        <v>95425647.8968743</v>
      </c>
      <c r="N92">
        <f>+M92/C2</f>
        <v>1104.463517324934</v>
      </c>
      <c r="O92" s="3">
        <f>+N92/D2</f>
        <v>3.0238563102667597</v>
      </c>
      <c r="P92" s="1" t="s">
        <v>98</v>
      </c>
      <c r="Q92" s="17" t="s">
        <v>58</v>
      </c>
      <c r="R92">
        <f>+Q90/K92</f>
        <v>230.6579706439533</v>
      </c>
    </row>
    <row r="93" spans="1:18" ht="18.75">
      <c r="A93" s="9" t="s">
        <v>10</v>
      </c>
      <c r="B93" s="9" t="s">
        <v>11</v>
      </c>
      <c r="C93" s="9" t="s">
        <v>12</v>
      </c>
      <c r="D93" s="9" t="s">
        <v>13</v>
      </c>
      <c r="E93" s="9" t="s">
        <v>14</v>
      </c>
      <c r="F93" s="9" t="s">
        <v>15</v>
      </c>
      <c r="G93" s="9" t="s">
        <v>16</v>
      </c>
      <c r="H93" s="9" t="s">
        <v>17</v>
      </c>
      <c r="I93" s="14" t="s">
        <v>18</v>
      </c>
      <c r="J93" s="14" t="s">
        <v>19</v>
      </c>
      <c r="K93" s="14" t="s">
        <v>20</v>
      </c>
      <c r="L93" s="14" t="s">
        <v>21</v>
      </c>
      <c r="M93" s="14" t="s">
        <v>22</v>
      </c>
      <c r="N93" s="14" t="s">
        <v>23</v>
      </c>
      <c r="O93" s="14" t="s">
        <v>24</v>
      </c>
      <c r="P93" s="14" t="s">
        <v>25</v>
      </c>
      <c r="Q93" s="14" t="s">
        <v>26</v>
      </c>
      <c r="R93" s="13" t="s">
        <v>27</v>
      </c>
    </row>
    <row r="94" spans="1:18" ht="18.75">
      <c r="A94" s="11"/>
      <c r="B94" s="11"/>
      <c r="C94" s="11" t="s">
        <v>28</v>
      </c>
      <c r="D94" s="12" t="s">
        <v>29</v>
      </c>
      <c r="E94" s="12"/>
      <c r="F94" s="11" t="s">
        <v>30</v>
      </c>
      <c r="G94" s="11" t="s">
        <v>31</v>
      </c>
      <c r="H94" s="11" t="s">
        <v>32</v>
      </c>
      <c r="I94" s="14" t="s">
        <v>33</v>
      </c>
      <c r="J94" s="10" t="s">
        <v>34</v>
      </c>
      <c r="K94" s="14" t="s">
        <v>31</v>
      </c>
      <c r="L94" s="14" t="s">
        <v>35</v>
      </c>
      <c r="M94" s="15"/>
      <c r="N94" s="10" t="s">
        <v>34</v>
      </c>
      <c r="O94" s="15"/>
      <c r="P94" s="10" t="s">
        <v>34</v>
      </c>
      <c r="Q94" s="15"/>
      <c r="R94" s="1"/>
    </row>
    <row r="95" spans="1:18" ht="18.75">
      <c r="A95" s="17" t="s">
        <v>99</v>
      </c>
      <c r="B95" s="17" t="s">
        <v>49</v>
      </c>
      <c r="C95" s="17">
        <v>137</v>
      </c>
      <c r="D95" s="17">
        <f>+G95*H2</f>
        <v>1.9910290738113811E+30</v>
      </c>
      <c r="E95" s="17">
        <f>+D95/E2</f>
        <v>1.0010201477181404</v>
      </c>
      <c r="F95" s="17">
        <f>+H2/(G95*L95)</f>
        <v>7.796800679356973</v>
      </c>
      <c r="G95" s="17">
        <f>+K96*L96*L96</f>
        <v>836566837735.8744</v>
      </c>
      <c r="H95" s="17">
        <f>+G95/A2/B2</f>
        <v>890.0089025675924</v>
      </c>
      <c r="I95" s="18" t="s">
        <v>39</v>
      </c>
      <c r="J95" s="1" t="s">
        <v>95</v>
      </c>
      <c r="K95">
        <f>+L95*B2</f>
        <v>2292665.862017849</v>
      </c>
      <c r="L95" s="17">
        <f>SQRT(R95)</f>
        <v>364888.25153072464</v>
      </c>
      <c r="M95" s="1" t="s">
        <v>85</v>
      </c>
      <c r="N95" s="1" t="s">
        <v>51</v>
      </c>
      <c r="O95" s="1" t="s">
        <v>50</v>
      </c>
      <c r="P95" s="1" t="s">
        <v>57</v>
      </c>
      <c r="Q95" s="1" t="s">
        <v>43</v>
      </c>
      <c r="R95">
        <f>+G95/B2</f>
        <v>133143436105.14935</v>
      </c>
    </row>
    <row r="96" spans="9:17" ht="18.75">
      <c r="I96" s="18" t="s">
        <v>40</v>
      </c>
      <c r="J96">
        <v>1.35</v>
      </c>
      <c r="K96">
        <f>+J96*A2*B2</f>
        <v>1268937004.6584</v>
      </c>
      <c r="L96" s="17">
        <f>+K96/M96</f>
        <v>25.676172879807694</v>
      </c>
      <c r="M96">
        <f>+N96*C2</f>
        <v>49420800</v>
      </c>
      <c r="N96">
        <v>572</v>
      </c>
      <c r="O96">
        <f>+N96/D2</f>
        <v>1.566050650239562</v>
      </c>
      <c r="P96">
        <f>+F2*5.4</f>
        <v>1.02546E+28</v>
      </c>
      <c r="Q96" s="17">
        <f>+P96/H2</f>
        <v>4308655462.184874</v>
      </c>
    </row>
    <row r="97" spans="9:18" ht="18.75">
      <c r="I97" s="18" t="s">
        <v>41</v>
      </c>
      <c r="J97" s="17">
        <f>+K97/A2/B2</f>
        <v>2.4391273186625226</v>
      </c>
      <c r="K97">
        <f>+K95*1000</f>
        <v>2292665862.017849</v>
      </c>
      <c r="L97" s="17">
        <f>SQRT(R97)</f>
        <v>19.102048359553606</v>
      </c>
      <c r="M97">
        <f>+K97/L97</f>
        <v>120021990.25274722</v>
      </c>
      <c r="N97">
        <f>+M97/C2</f>
        <v>1389.1434057030929</v>
      </c>
      <c r="O97" s="3">
        <f>+N97/D2</f>
        <v>3.803267366743581</v>
      </c>
      <c r="P97" s="1" t="s">
        <v>57</v>
      </c>
      <c r="Q97" s="1" t="s">
        <v>74</v>
      </c>
      <c r="R97">
        <f>+G95/K97</f>
        <v>364.8882515307246</v>
      </c>
    </row>
    <row r="98" spans="1:18" ht="18.75">
      <c r="A98" s="9" t="s">
        <v>10</v>
      </c>
      <c r="B98" s="9" t="s">
        <v>11</v>
      </c>
      <c r="C98" s="9" t="s">
        <v>12</v>
      </c>
      <c r="D98" s="9" t="s">
        <v>13</v>
      </c>
      <c r="E98" s="9" t="s">
        <v>14</v>
      </c>
      <c r="F98" s="9" t="s">
        <v>15</v>
      </c>
      <c r="G98" s="9" t="s">
        <v>16</v>
      </c>
      <c r="H98" s="9" t="s">
        <v>17</v>
      </c>
      <c r="I98" s="14" t="s">
        <v>18</v>
      </c>
      <c r="J98" s="14" t="s">
        <v>19</v>
      </c>
      <c r="K98" s="14" t="s">
        <v>20</v>
      </c>
      <c r="L98" s="14" t="s">
        <v>21</v>
      </c>
      <c r="M98" s="14" t="s">
        <v>22</v>
      </c>
      <c r="N98" s="14" t="s">
        <v>23</v>
      </c>
      <c r="O98" s="14" t="s">
        <v>24</v>
      </c>
      <c r="P98" s="14" t="s">
        <v>25</v>
      </c>
      <c r="Q98" s="14" t="s">
        <v>26</v>
      </c>
      <c r="R98" s="13" t="s">
        <v>27</v>
      </c>
    </row>
    <row r="99" spans="1:18" ht="18.75">
      <c r="A99" s="11"/>
      <c r="B99" s="11"/>
      <c r="C99" s="11" t="s">
        <v>28</v>
      </c>
      <c r="D99" s="12" t="s">
        <v>29</v>
      </c>
      <c r="E99" s="12"/>
      <c r="F99" s="11" t="s">
        <v>30</v>
      </c>
      <c r="G99" s="11" t="s">
        <v>31</v>
      </c>
      <c r="H99" s="11" t="s">
        <v>32</v>
      </c>
      <c r="I99" s="14" t="s">
        <v>33</v>
      </c>
      <c r="J99" s="10" t="s">
        <v>34</v>
      </c>
      <c r="K99" s="14" t="s">
        <v>31</v>
      </c>
      <c r="L99" s="14" t="s">
        <v>35</v>
      </c>
      <c r="M99" s="15"/>
      <c r="N99" s="10" t="s">
        <v>34</v>
      </c>
      <c r="O99" s="15"/>
      <c r="P99" s="10" t="s">
        <v>34</v>
      </c>
      <c r="Q99" s="15"/>
      <c r="R99" s="1"/>
    </row>
    <row r="100" spans="1:18" ht="18.75">
      <c r="A100" s="17" t="s">
        <v>100</v>
      </c>
      <c r="B100" s="17" t="s">
        <v>101</v>
      </c>
      <c r="C100" s="17">
        <v>307</v>
      </c>
      <c r="D100" s="17">
        <f>+G100*H2</f>
        <v>4.687466743027347E+30</v>
      </c>
      <c r="E100" s="17">
        <f>+D100/E2</f>
        <v>2.35669519508665</v>
      </c>
      <c r="F100" s="17">
        <f>+H2/(G100*L100)</f>
        <v>2.1583682080427393</v>
      </c>
      <c r="G100" s="17">
        <f>+K101*L101*L101</f>
        <v>1969523841608.129</v>
      </c>
      <c r="H100" s="17">
        <f>+G100/A2/B2</f>
        <v>2095.3421457566706</v>
      </c>
      <c r="I100" s="18" t="s">
        <v>39</v>
      </c>
      <c r="J100" s="1" t="s">
        <v>43</v>
      </c>
      <c r="K100">
        <f>+L100*B2</f>
        <v>3517799.3407231453</v>
      </c>
      <c r="L100" s="17">
        <f>SQRT(R100)</f>
        <v>559873.844652907</v>
      </c>
      <c r="M100" s="1" t="s">
        <v>85</v>
      </c>
      <c r="N100" s="1" t="s">
        <v>51</v>
      </c>
      <c r="O100" s="1" t="s">
        <v>50</v>
      </c>
      <c r="P100" s="1" t="s">
        <v>57</v>
      </c>
      <c r="Q100" s="1" t="s">
        <v>43</v>
      </c>
      <c r="R100">
        <f>+G100/B2</f>
        <v>313458721926.4274</v>
      </c>
    </row>
    <row r="101" spans="9:17" ht="18.75">
      <c r="I101" s="18" t="s">
        <v>40</v>
      </c>
      <c r="J101">
        <v>0.233</v>
      </c>
      <c r="K101">
        <f>+J101*A2*B2</f>
        <v>219009127.470672</v>
      </c>
      <c r="L101" s="17">
        <f>+K101/M101</f>
        <v>94.83082170759032</v>
      </c>
      <c r="M101">
        <f>+N101*C2</f>
        <v>2309472</v>
      </c>
      <c r="N101">
        <v>26.73</v>
      </c>
      <c r="O101">
        <f>+N101/D2</f>
        <v>0.07318275154004107</v>
      </c>
      <c r="P101">
        <f>+F2*0.71</f>
        <v>1.3482899999999998E+27</v>
      </c>
      <c r="Q101" s="17">
        <f>+P101/H2</f>
        <v>566508403.3613445</v>
      </c>
    </row>
    <row r="102" spans="9:18" ht="18.75">
      <c r="I102" s="18" t="s">
        <v>41</v>
      </c>
      <c r="J102" s="17">
        <f>+K102/A2/B2</f>
        <v>3.742525509573813</v>
      </c>
      <c r="K102">
        <f>+K100*1000</f>
        <v>3517799340.7231455</v>
      </c>
      <c r="L102" s="17">
        <f>SQRT(R102)</f>
        <v>23.661653464052485</v>
      </c>
      <c r="M102">
        <f>+K102/L102</f>
        <v>148670901.0453346</v>
      </c>
      <c r="N102">
        <f>+M102/C2</f>
        <v>1720.7280213580395</v>
      </c>
      <c r="O102" s="3">
        <f>+N102/D2</f>
        <v>4.711096567715372</v>
      </c>
      <c r="P102" s="1" t="s">
        <v>43</v>
      </c>
      <c r="Q102" s="1" t="s">
        <v>102</v>
      </c>
      <c r="R102">
        <f>+G100/K102</f>
        <v>559.873844652907</v>
      </c>
    </row>
    <row r="103" spans="1:18" ht="18.75">
      <c r="A103" s="9" t="s">
        <v>10</v>
      </c>
      <c r="B103" s="9" t="s">
        <v>11</v>
      </c>
      <c r="C103" s="9" t="s">
        <v>12</v>
      </c>
      <c r="D103" s="9" t="s">
        <v>13</v>
      </c>
      <c r="E103" s="9" t="s">
        <v>14</v>
      </c>
      <c r="F103" s="9" t="s">
        <v>15</v>
      </c>
      <c r="G103" s="9" t="s">
        <v>16</v>
      </c>
      <c r="H103" s="9" t="s">
        <v>17</v>
      </c>
      <c r="I103" s="14" t="s">
        <v>18</v>
      </c>
      <c r="J103" s="14" t="s">
        <v>19</v>
      </c>
      <c r="K103" s="14" t="s">
        <v>20</v>
      </c>
      <c r="L103" s="14" t="s">
        <v>21</v>
      </c>
      <c r="M103" s="14" t="s">
        <v>22</v>
      </c>
      <c r="N103" s="14" t="s">
        <v>23</v>
      </c>
      <c r="O103" s="14" t="s">
        <v>24</v>
      </c>
      <c r="P103" s="14" t="s">
        <v>25</v>
      </c>
      <c r="Q103" s="14" t="s">
        <v>26</v>
      </c>
      <c r="R103" s="13" t="s">
        <v>27</v>
      </c>
    </row>
    <row r="104" spans="1:18" ht="18.75">
      <c r="A104" s="11"/>
      <c r="B104" s="11"/>
      <c r="C104" s="11" t="s">
        <v>28</v>
      </c>
      <c r="D104" s="12" t="s">
        <v>29</v>
      </c>
      <c r="E104" s="12"/>
      <c r="F104" s="11" t="s">
        <v>30</v>
      </c>
      <c r="G104" s="11" t="s">
        <v>31</v>
      </c>
      <c r="H104" s="11" t="s">
        <v>32</v>
      </c>
      <c r="I104" s="14" t="s">
        <v>33</v>
      </c>
      <c r="J104" s="10" t="s">
        <v>34</v>
      </c>
      <c r="K104" s="14" t="s">
        <v>31</v>
      </c>
      <c r="L104" s="14" t="s">
        <v>35</v>
      </c>
      <c r="M104" s="15"/>
      <c r="N104" s="10" t="s">
        <v>34</v>
      </c>
      <c r="O104" s="15"/>
      <c r="P104" s="10" t="s">
        <v>34</v>
      </c>
      <c r="Q104" s="15"/>
      <c r="R104" s="1"/>
    </row>
    <row r="105" spans="1:18" ht="18.75">
      <c r="A105" s="17" t="s">
        <v>103</v>
      </c>
      <c r="B105" s="17" t="s">
        <v>104</v>
      </c>
      <c r="C105" s="17">
        <v>287.9</v>
      </c>
      <c r="D105" s="17">
        <f>+G105*H2</f>
        <v>4.1552136391329613E+30</v>
      </c>
      <c r="E105" s="17">
        <f>+D105/E2</f>
        <v>2.089096852253877</v>
      </c>
      <c r="F105" s="17">
        <f>+H2/(G105*L105)</f>
        <v>2.5860850155279227</v>
      </c>
      <c r="G105" s="17">
        <f>+K106*L106*L106</f>
        <v>1745888083669.3115</v>
      </c>
      <c r="H105" s="17">
        <f>+G105/A2/B2</f>
        <v>1857.4199541040773</v>
      </c>
      <c r="I105" s="18" t="s">
        <v>39</v>
      </c>
      <c r="J105" s="1" t="s">
        <v>42</v>
      </c>
      <c r="K105">
        <f>+L105*B2</f>
        <v>3312063.4062938793</v>
      </c>
      <c r="L105" s="17">
        <f>SQRT(R105)</f>
        <v>527130.0302861407</v>
      </c>
      <c r="M105" s="1" t="s">
        <v>85</v>
      </c>
      <c r="N105" s="1" t="s">
        <v>51</v>
      </c>
      <c r="O105" s="1" t="s">
        <v>50</v>
      </c>
      <c r="P105" s="1" t="s">
        <v>57</v>
      </c>
      <c r="Q105" s="1" t="s">
        <v>43</v>
      </c>
      <c r="R105">
        <f>+G105/B2</f>
        <v>277866068829.4677</v>
      </c>
    </row>
    <row r="106" spans="9:17" ht="18.75">
      <c r="I106" s="18" t="s">
        <v>40</v>
      </c>
      <c r="J106">
        <v>0.81</v>
      </c>
      <c r="K106">
        <f>+J106*A2*B2</f>
        <v>761362202.79504</v>
      </c>
      <c r="L106" s="17">
        <f>+K106/M106</f>
        <v>47.886439149820674</v>
      </c>
      <c r="M106">
        <f>+N106*C2</f>
        <v>15899328</v>
      </c>
      <c r="N106">
        <v>184.02</v>
      </c>
      <c r="O106">
        <f>+N106/D2</f>
        <v>0.5038193018480494</v>
      </c>
      <c r="P106">
        <f>+F2*2.7</f>
        <v>5.1273E+27</v>
      </c>
      <c r="Q106" s="17">
        <f>+P106/H2</f>
        <v>2154327731.092437</v>
      </c>
    </row>
    <row r="107" spans="9:18" ht="18.75">
      <c r="I107" s="18" t="s">
        <v>41</v>
      </c>
      <c r="J107" s="17">
        <f>+K107/A2/B2</f>
        <v>3.5236466286995975</v>
      </c>
      <c r="K107">
        <f>+K105*1000</f>
        <v>3312063406.293879</v>
      </c>
      <c r="L107" s="17">
        <f>SQRT(R107)</f>
        <v>22.959312495938132</v>
      </c>
      <c r="M107">
        <f>+K107/L107</f>
        <v>144257952.2744784</v>
      </c>
      <c r="N107">
        <f>+M107/C2</f>
        <v>1669.6522253990556</v>
      </c>
      <c r="O107" s="3">
        <f>+N107/D2</f>
        <v>4.571258659545669</v>
      </c>
      <c r="P107" s="1" t="s">
        <v>65</v>
      </c>
      <c r="Q107" s="1" t="s">
        <v>50</v>
      </c>
      <c r="R107">
        <f>+G105/K107</f>
        <v>527.1300302861409</v>
      </c>
    </row>
    <row r="108" spans="1:18" ht="18.75">
      <c r="A108" s="9" t="s">
        <v>10</v>
      </c>
      <c r="B108" s="9" t="s">
        <v>11</v>
      </c>
      <c r="C108" s="9" t="s">
        <v>12</v>
      </c>
      <c r="D108" s="9" t="s">
        <v>13</v>
      </c>
      <c r="E108" s="9" t="s">
        <v>14</v>
      </c>
      <c r="F108" s="9" t="s">
        <v>15</v>
      </c>
      <c r="G108" s="9" t="s">
        <v>16</v>
      </c>
      <c r="H108" s="9" t="s">
        <v>17</v>
      </c>
      <c r="I108" s="14" t="s">
        <v>18</v>
      </c>
      <c r="J108" s="14" t="s">
        <v>19</v>
      </c>
      <c r="K108" s="14" t="s">
        <v>20</v>
      </c>
      <c r="L108" s="14" t="s">
        <v>21</v>
      </c>
      <c r="M108" s="14" t="s">
        <v>22</v>
      </c>
      <c r="N108" s="14" t="s">
        <v>23</v>
      </c>
      <c r="O108" s="14" t="s">
        <v>24</v>
      </c>
      <c r="P108" s="14" t="s">
        <v>25</v>
      </c>
      <c r="Q108" s="14" t="s">
        <v>26</v>
      </c>
      <c r="R108" s="13" t="s">
        <v>27</v>
      </c>
    </row>
    <row r="109" spans="1:18" ht="18.75">
      <c r="A109" s="11"/>
      <c r="B109" s="11"/>
      <c r="C109" s="11" t="s">
        <v>28</v>
      </c>
      <c r="D109" s="12" t="s">
        <v>29</v>
      </c>
      <c r="E109" s="12"/>
      <c r="F109" s="11" t="s">
        <v>30</v>
      </c>
      <c r="G109" s="11" t="s">
        <v>31</v>
      </c>
      <c r="H109" s="11" t="s">
        <v>32</v>
      </c>
      <c r="I109" s="14" t="s">
        <v>33</v>
      </c>
      <c r="J109" s="10" t="s">
        <v>34</v>
      </c>
      <c r="K109" s="14" t="s">
        <v>31</v>
      </c>
      <c r="L109" s="14" t="s">
        <v>35</v>
      </c>
      <c r="M109" s="15"/>
      <c r="N109" s="10" t="s">
        <v>34</v>
      </c>
      <c r="O109" s="15"/>
      <c r="P109" s="10" t="s">
        <v>34</v>
      </c>
      <c r="Q109" s="15"/>
      <c r="R109" s="1"/>
    </row>
    <row r="110" spans="1:18" ht="18.75">
      <c r="A110" s="17" t="s">
        <v>105</v>
      </c>
      <c r="B110" s="17" t="s">
        <v>106</v>
      </c>
      <c r="C110" s="17">
        <v>1030</v>
      </c>
      <c r="D110" s="17">
        <f>+G110*H2</f>
        <v>2.324168985396272E+30</v>
      </c>
      <c r="E110" s="17">
        <f>+D110/E2</f>
        <v>1.1685113048749483</v>
      </c>
      <c r="F110" s="17">
        <f>+H2/(G110*L110)</f>
        <v>6.182032478162149</v>
      </c>
      <c r="G110" s="17">
        <f>+K111*L111*L111</f>
        <v>976541590502.6353</v>
      </c>
      <c r="H110" s="17">
        <f>+G110/A2/B2</f>
        <v>1038.9256065027866</v>
      </c>
      <c r="I110" s="18" t="s">
        <v>39</v>
      </c>
      <c r="J110" s="1" t="s">
        <v>43</v>
      </c>
      <c r="K110">
        <f>+L110*B2</f>
        <v>2477055.9382957336</v>
      </c>
      <c r="L110" s="17">
        <f>SQRT(R110)</f>
        <v>394234.7750025041</v>
      </c>
      <c r="M110" s="1" t="s">
        <v>85</v>
      </c>
      <c r="N110" s="1" t="s">
        <v>51</v>
      </c>
      <c r="O110" s="1" t="s">
        <v>50</v>
      </c>
      <c r="P110" s="1" t="s">
        <v>57</v>
      </c>
      <c r="Q110" s="1" t="s">
        <v>43</v>
      </c>
      <c r="R110">
        <f>+G110/B2</f>
        <v>155421057821.27502</v>
      </c>
    </row>
    <row r="111" spans="9:17" ht="18.75">
      <c r="I111" s="18" t="s">
        <v>40</v>
      </c>
      <c r="J111">
        <v>0.0382</v>
      </c>
      <c r="K111">
        <f>+J111*A2*B2</f>
        <v>35906217.4651488</v>
      </c>
      <c r="L111" s="17">
        <f>+K111/M111</f>
        <v>164.91514607770904</v>
      </c>
      <c r="M111">
        <f>+N111*C2</f>
        <v>217725.408</v>
      </c>
      <c r="N111">
        <v>2.51997</v>
      </c>
      <c r="O111">
        <f>+N111/D2</f>
        <v>0.006899301848049281</v>
      </c>
      <c r="P111">
        <f>+F2*0.89</f>
        <v>1.69011E+27</v>
      </c>
      <c r="Q111" s="17">
        <f>+P111/H2</f>
        <v>710130252.1008403</v>
      </c>
    </row>
    <row r="112" spans="9:18" ht="18.75">
      <c r="I112" s="18" t="s">
        <v>41</v>
      </c>
      <c r="J112" s="17">
        <f>+K112/A2/B2</f>
        <v>2.635296712463246</v>
      </c>
      <c r="K112">
        <f>+K110*1000</f>
        <v>2477055938.2957335</v>
      </c>
      <c r="L112" s="17">
        <f>SQRT(R112)</f>
        <v>19.855346257431627</v>
      </c>
      <c r="M112">
        <f>+K112/L112</f>
        <v>124755111.60469438</v>
      </c>
      <c r="N112">
        <f>+M112/C2</f>
        <v>1443.924902832111</v>
      </c>
      <c r="O112" s="3">
        <f>+N112/D2</f>
        <v>3.953250931778538</v>
      </c>
      <c r="P112" s="1" t="s">
        <v>43</v>
      </c>
      <c r="Q112" s="1" t="s">
        <v>50</v>
      </c>
      <c r="R112">
        <f>+G110/K112</f>
        <v>394.23477500250414</v>
      </c>
    </row>
    <row r="113" spans="1:18" ht="18.75">
      <c r="A113" s="9" t="s">
        <v>10</v>
      </c>
      <c r="B113" s="9" t="s">
        <v>11</v>
      </c>
      <c r="C113" s="9" t="s">
        <v>12</v>
      </c>
      <c r="D113" s="9" t="s">
        <v>13</v>
      </c>
      <c r="E113" s="9" t="s">
        <v>14</v>
      </c>
      <c r="F113" s="9" t="s">
        <v>15</v>
      </c>
      <c r="G113" s="9" t="s">
        <v>16</v>
      </c>
      <c r="H113" s="9" t="s">
        <v>17</v>
      </c>
      <c r="I113" s="14" t="s">
        <v>18</v>
      </c>
      <c r="J113" s="14" t="s">
        <v>19</v>
      </c>
      <c r="K113" s="14" t="s">
        <v>20</v>
      </c>
      <c r="L113" s="14" t="s">
        <v>21</v>
      </c>
      <c r="M113" s="14" t="s">
        <v>22</v>
      </c>
      <c r="N113" s="14" t="s">
        <v>23</v>
      </c>
      <c r="O113" s="14" t="s">
        <v>24</v>
      </c>
      <c r="P113" s="14" t="s">
        <v>25</v>
      </c>
      <c r="Q113" s="14" t="s">
        <v>26</v>
      </c>
      <c r="R113" s="13" t="s">
        <v>27</v>
      </c>
    </row>
    <row r="114" spans="1:18" ht="18.75">
      <c r="A114" s="11"/>
      <c r="B114" s="11"/>
      <c r="C114" s="11" t="s">
        <v>28</v>
      </c>
      <c r="D114" s="12" t="s">
        <v>29</v>
      </c>
      <c r="E114" s="12"/>
      <c r="F114" s="11" t="s">
        <v>30</v>
      </c>
      <c r="G114" s="11" t="s">
        <v>31</v>
      </c>
      <c r="H114" s="11" t="s">
        <v>32</v>
      </c>
      <c r="I114" s="14" t="s">
        <v>33</v>
      </c>
      <c r="J114" s="10" t="s">
        <v>34</v>
      </c>
      <c r="K114" s="14" t="s">
        <v>31</v>
      </c>
      <c r="L114" s="14" t="s">
        <v>35</v>
      </c>
      <c r="M114" s="15"/>
      <c r="N114" s="10" t="s">
        <v>34</v>
      </c>
      <c r="O114" s="15"/>
      <c r="P114" s="10" t="s">
        <v>34</v>
      </c>
      <c r="Q114" s="15"/>
      <c r="R114" s="1"/>
    </row>
    <row r="115" spans="1:18" ht="18.75">
      <c r="A115" s="17" t="s">
        <v>107</v>
      </c>
      <c r="B115" s="17" t="s">
        <v>108</v>
      </c>
      <c r="C115" s="17">
        <v>1050</v>
      </c>
      <c r="D115" s="17">
        <f>+G115*H2</f>
        <v>1.6538942341958772E+30</v>
      </c>
      <c r="E115" s="17">
        <f>+D115/E2</f>
        <v>0.8315204797364893</v>
      </c>
      <c r="F115" s="17">
        <f>+H2/(G115*L115)</f>
        <v>10.298435062328771</v>
      </c>
      <c r="G115" s="17">
        <f>+K116*L116*L116</f>
        <v>694913543779.7803</v>
      </c>
      <c r="H115" s="17">
        <f>+G115/A2/B2</f>
        <v>739.3064278673554</v>
      </c>
      <c r="I115" s="18" t="s">
        <v>39</v>
      </c>
      <c r="J115" s="1" t="s">
        <v>42</v>
      </c>
      <c r="K115">
        <f>+L115*B2</f>
        <v>2089564.7341676485</v>
      </c>
      <c r="L115" s="17">
        <f>SQRT(R115)</f>
        <v>332563.7786745048</v>
      </c>
      <c r="M115" s="1" t="s">
        <v>85</v>
      </c>
      <c r="N115" s="1" t="s">
        <v>51</v>
      </c>
      <c r="O115" s="1" t="s">
        <v>50</v>
      </c>
      <c r="P115" s="1" t="s">
        <v>57</v>
      </c>
      <c r="Q115" s="1" t="s">
        <v>43</v>
      </c>
      <c r="R115">
        <f>+G115/B2</f>
        <v>110598666886.265</v>
      </c>
    </row>
    <row r="116" spans="9:17" ht="18.75">
      <c r="I116" s="18" t="s">
        <v>40</v>
      </c>
      <c r="J116">
        <v>0.0307</v>
      </c>
      <c r="K116">
        <f>+J116*A2*B2</f>
        <v>28856567.4392688</v>
      </c>
      <c r="L116" s="17">
        <f>+K116/M116</f>
        <v>155.18261049983184</v>
      </c>
      <c r="M116">
        <f>+N116*C2</f>
        <v>185952.32640000002</v>
      </c>
      <c r="N116">
        <v>2.152226</v>
      </c>
      <c r="O116">
        <f>+N116/D2</f>
        <v>0.0058924736481861745</v>
      </c>
      <c r="P116">
        <f>+F2*0.88</f>
        <v>1.67112E+27</v>
      </c>
      <c r="Q116" s="17">
        <f>+P116/H2</f>
        <v>702151260.5042017</v>
      </c>
    </row>
    <row r="117" spans="9:18" ht="18.75">
      <c r="I117" s="18" t="s">
        <v>41</v>
      </c>
      <c r="J117" s="17">
        <f>+K117/A2/B2</f>
        <v>2.2230515626626555</v>
      </c>
      <c r="K117">
        <f>+K115*1000</f>
        <v>2089564734.1676486</v>
      </c>
      <c r="L117" s="17">
        <f>SQRT(R117)</f>
        <v>18.23633128330654</v>
      </c>
      <c r="M117">
        <f>+K117/L117</f>
        <v>114582516.71927166</v>
      </c>
      <c r="N117">
        <f>+M117/C2</f>
        <v>1326.1865361026812</v>
      </c>
      <c r="O117" s="3">
        <f>+N117/D2</f>
        <v>3.630900851752721</v>
      </c>
      <c r="P117" s="1" t="s">
        <v>50</v>
      </c>
      <c r="Q117" s="1" t="s">
        <v>50</v>
      </c>
      <c r="R117">
        <f>+G115/K117</f>
        <v>332.56377867450476</v>
      </c>
    </row>
    <row r="118" spans="1:18" ht="18.75">
      <c r="A118" s="9" t="s">
        <v>10</v>
      </c>
      <c r="B118" s="9" t="s">
        <v>11</v>
      </c>
      <c r="C118" s="9" t="s">
        <v>12</v>
      </c>
      <c r="D118" s="9" t="s">
        <v>13</v>
      </c>
      <c r="E118" s="9" t="s">
        <v>14</v>
      </c>
      <c r="F118" s="9" t="s">
        <v>15</v>
      </c>
      <c r="G118" s="9" t="s">
        <v>16</v>
      </c>
      <c r="H118" s="9" t="s">
        <v>17</v>
      </c>
      <c r="I118" s="14" t="s">
        <v>18</v>
      </c>
      <c r="J118" s="14" t="s">
        <v>19</v>
      </c>
      <c r="K118" s="14" t="s">
        <v>20</v>
      </c>
      <c r="L118" s="14" t="s">
        <v>21</v>
      </c>
      <c r="M118" s="14" t="s">
        <v>22</v>
      </c>
      <c r="N118" s="14" t="s">
        <v>23</v>
      </c>
      <c r="O118" s="14" t="s">
        <v>24</v>
      </c>
      <c r="P118" s="14" t="s">
        <v>25</v>
      </c>
      <c r="Q118" s="14" t="s">
        <v>26</v>
      </c>
      <c r="R118" s="13" t="s">
        <v>27</v>
      </c>
    </row>
    <row r="119" spans="1:18" ht="18.75">
      <c r="A119" s="11"/>
      <c r="B119" s="11"/>
      <c r="C119" s="11" t="s">
        <v>28</v>
      </c>
      <c r="D119" s="12" t="s">
        <v>29</v>
      </c>
      <c r="E119" s="12"/>
      <c r="F119" s="11" t="s">
        <v>30</v>
      </c>
      <c r="G119" s="11" t="s">
        <v>31</v>
      </c>
      <c r="H119" s="11" t="s">
        <v>32</v>
      </c>
      <c r="I119" s="14" t="s">
        <v>33</v>
      </c>
      <c r="J119" s="10" t="s">
        <v>34</v>
      </c>
      <c r="K119" s="14" t="s">
        <v>31</v>
      </c>
      <c r="L119" s="14" t="s">
        <v>35</v>
      </c>
      <c r="M119" s="15"/>
      <c r="N119" s="10" t="s">
        <v>34</v>
      </c>
      <c r="O119" s="15"/>
      <c r="P119" s="10" t="s">
        <v>34</v>
      </c>
      <c r="Q119" s="15"/>
      <c r="R119" s="1"/>
    </row>
    <row r="120" spans="1:18" ht="18.75">
      <c r="A120" s="17" t="s">
        <v>109</v>
      </c>
      <c r="B120" s="17" t="s">
        <v>110</v>
      </c>
      <c r="C120" s="17">
        <v>727</v>
      </c>
      <c r="D120" s="17">
        <f>+G120*H2</f>
        <v>2.4728081193541533E+30</v>
      </c>
      <c r="E120" s="17">
        <f>+D120/E2</f>
        <v>1.2432418900724753</v>
      </c>
      <c r="F120" s="17">
        <f>+H2/(G120*L120)</f>
        <v>5.633096712525504</v>
      </c>
      <c r="G120" s="17">
        <f>+K121*L121*L121</f>
        <v>1038995008131.9972</v>
      </c>
      <c r="H120" s="17">
        <f>+G120/A2/B2</f>
        <v>1105.3687108413944</v>
      </c>
      <c r="I120" s="18" t="s">
        <v>39</v>
      </c>
      <c r="J120" s="1" t="s">
        <v>42</v>
      </c>
      <c r="K120">
        <f>+L120*B2</f>
        <v>2555036.8754863334</v>
      </c>
      <c r="L120" s="17">
        <f>SQRT(R120)</f>
        <v>406645.79760095704</v>
      </c>
      <c r="M120" s="1" t="s">
        <v>85</v>
      </c>
      <c r="N120" s="1" t="s">
        <v>51</v>
      </c>
      <c r="O120" s="1" t="s">
        <v>50</v>
      </c>
      <c r="P120" s="1" t="s">
        <v>57</v>
      </c>
      <c r="Q120" s="1" t="s">
        <v>43</v>
      </c>
      <c r="R120">
        <f>+G120/B2</f>
        <v>165360804706.51852</v>
      </c>
    </row>
    <row r="121" spans="9:17" ht="18.75">
      <c r="I121" s="18" t="s">
        <v>40</v>
      </c>
      <c r="J121">
        <v>0.0317</v>
      </c>
      <c r="K121">
        <f>+J121*A2*B2</f>
        <v>29796520.776052803</v>
      </c>
      <c r="L121" s="17">
        <f>+K121/M121</f>
        <v>186.73423740938398</v>
      </c>
      <c r="M121">
        <f>+N121*C2</f>
        <v>159566.4576</v>
      </c>
      <c r="N121">
        <v>1.846834</v>
      </c>
      <c r="O121">
        <f>+N121/D2</f>
        <v>0.005056355920602327</v>
      </c>
      <c r="P121">
        <f>+F2*1.76</f>
        <v>3.34224E+27</v>
      </c>
      <c r="Q121" s="17">
        <f>+P121/H2</f>
        <v>1404302521.0084033</v>
      </c>
    </row>
    <row r="122" spans="9:18" ht="18.75">
      <c r="I122" s="18" t="s">
        <v>41</v>
      </c>
      <c r="J122" s="17">
        <f>+K122/A2/B2</f>
        <v>2.7182592746872465</v>
      </c>
      <c r="K122">
        <f>+K120*1000</f>
        <v>2555036875.4863334</v>
      </c>
      <c r="L122" s="17">
        <f>SQRT(R122)</f>
        <v>20.165460510510467</v>
      </c>
      <c r="M122">
        <f>+K122/L122</f>
        <v>126703621.47963937</v>
      </c>
      <c r="N122">
        <f>+M122/C2</f>
        <v>1466.477100458789</v>
      </c>
      <c r="O122" s="3">
        <f>+N122/D2</f>
        <v>4.014995483802297</v>
      </c>
      <c r="P122" s="1" t="s">
        <v>65</v>
      </c>
      <c r="Q122" s="1" t="s">
        <v>59</v>
      </c>
      <c r="R122">
        <f>+G120/K122</f>
        <v>406.64579760095705</v>
      </c>
    </row>
    <row r="123" spans="1:18" ht="18.75">
      <c r="A123" s="9" t="s">
        <v>10</v>
      </c>
      <c r="B123" s="9" t="s">
        <v>11</v>
      </c>
      <c r="C123" s="9" t="s">
        <v>12</v>
      </c>
      <c r="D123" s="9" t="s">
        <v>13</v>
      </c>
      <c r="E123" s="9" t="s">
        <v>14</v>
      </c>
      <c r="F123" s="9" t="s">
        <v>15</v>
      </c>
      <c r="G123" s="9" t="s">
        <v>16</v>
      </c>
      <c r="H123" s="9" t="s">
        <v>17</v>
      </c>
      <c r="I123" s="14" t="s">
        <v>18</v>
      </c>
      <c r="J123" s="14" t="s">
        <v>19</v>
      </c>
      <c r="K123" s="14" t="s">
        <v>20</v>
      </c>
      <c r="L123" s="14" t="s">
        <v>21</v>
      </c>
      <c r="M123" s="14" t="s">
        <v>22</v>
      </c>
      <c r="N123" s="14" t="s">
        <v>23</v>
      </c>
      <c r="O123" s="14" t="s">
        <v>24</v>
      </c>
      <c r="P123" s="14" t="s">
        <v>25</v>
      </c>
      <c r="Q123" s="14" t="s">
        <v>26</v>
      </c>
      <c r="R123" s="13" t="s">
        <v>27</v>
      </c>
    </row>
    <row r="124" spans="1:18" ht="18.75">
      <c r="A124" s="11"/>
      <c r="B124" s="11"/>
      <c r="C124" s="11" t="s">
        <v>28</v>
      </c>
      <c r="D124" s="12" t="s">
        <v>29</v>
      </c>
      <c r="E124" s="12"/>
      <c r="F124" s="11" t="s">
        <v>30</v>
      </c>
      <c r="G124" s="11" t="s">
        <v>31</v>
      </c>
      <c r="H124" s="11" t="s">
        <v>32</v>
      </c>
      <c r="I124" s="14" t="s">
        <v>33</v>
      </c>
      <c r="J124" s="10" t="s">
        <v>34</v>
      </c>
      <c r="K124" s="14" t="s">
        <v>31</v>
      </c>
      <c r="L124" s="14" t="s">
        <v>35</v>
      </c>
      <c r="M124" s="15"/>
      <c r="N124" s="10" t="s">
        <v>34</v>
      </c>
      <c r="O124" s="15"/>
      <c r="P124" s="10" t="s">
        <v>34</v>
      </c>
      <c r="Q124" s="15"/>
      <c r="R124" s="1"/>
    </row>
    <row r="125" spans="1:18" ht="18.75">
      <c r="A125" s="17" t="s">
        <v>111</v>
      </c>
      <c r="B125" s="17" t="s">
        <v>112</v>
      </c>
      <c r="C125" s="17">
        <v>850</v>
      </c>
      <c r="D125" s="17">
        <f>+G125*H2</f>
        <v>1.794081902060327E+30</v>
      </c>
      <c r="E125" s="17">
        <f>+D125/E2</f>
        <v>0.9020019618201744</v>
      </c>
      <c r="F125" s="17">
        <f>+H2/(G125*L125)</f>
        <v>9.115267890352959</v>
      </c>
      <c r="G125" s="17">
        <f>+K126*L126*L126</f>
        <v>753815925235.4315</v>
      </c>
      <c r="H125" s="17">
        <f>+G125/A2/B2</f>
        <v>801.9716466080883</v>
      </c>
      <c r="I125" s="18" t="s">
        <v>39</v>
      </c>
      <c r="J125" s="1" t="s">
        <v>113</v>
      </c>
      <c r="K125">
        <f>+L125*B2</f>
        <v>2176321.7182758767</v>
      </c>
      <c r="L125" s="17">
        <f>SQRT(R125)</f>
        <v>346371.54925450037</v>
      </c>
      <c r="M125" s="1" t="s">
        <v>85</v>
      </c>
      <c r="N125" s="1" t="s">
        <v>51</v>
      </c>
      <c r="O125" s="1" t="s">
        <v>50</v>
      </c>
      <c r="P125" s="1" t="s">
        <v>57</v>
      </c>
      <c r="Q125" s="1" t="s">
        <v>43</v>
      </c>
      <c r="R125">
        <f>+G125/B2</f>
        <v>119973250132.96275</v>
      </c>
    </row>
    <row r="126" spans="9:17" ht="18.75">
      <c r="I126" s="18" t="s">
        <v>40</v>
      </c>
      <c r="J126">
        <v>0.023</v>
      </c>
      <c r="K126">
        <f>+J126*A2*B2</f>
        <v>21618926.746032</v>
      </c>
      <c r="L126" s="17">
        <f>+K126/M126</f>
        <v>186.73064146310116</v>
      </c>
      <c r="M126">
        <f>+N126*C2</f>
        <v>115776</v>
      </c>
      <c r="N126">
        <v>1.34</v>
      </c>
      <c r="O126">
        <f>+N126/D2</f>
        <v>0.003668720054757016</v>
      </c>
      <c r="P126">
        <f>+F2*1.27</f>
        <v>2.41173E+27</v>
      </c>
      <c r="Q126" s="17">
        <f>+P126/H2</f>
        <v>1013331932.7731093</v>
      </c>
    </row>
    <row r="127" spans="9:18" ht="18.75">
      <c r="I127" s="18" t="s">
        <v>41</v>
      </c>
      <c r="J127" s="17">
        <f>+K127/A2/B2</f>
        <v>2.3153508085008188</v>
      </c>
      <c r="K127">
        <f>+K125*1000</f>
        <v>2176321718.2758765</v>
      </c>
      <c r="L127" s="17">
        <f>SQRT(R127)</f>
        <v>18.61105986381486</v>
      </c>
      <c r="M127">
        <f>+K127/L127</f>
        <v>116937011.33632152</v>
      </c>
      <c r="N127">
        <f>+M127/C2</f>
        <v>1353.437631207425</v>
      </c>
      <c r="O127" s="3">
        <f>+N127/D2</f>
        <v>3.7055102839354555</v>
      </c>
      <c r="P127" s="1" t="s">
        <v>62</v>
      </c>
      <c r="Q127" s="1" t="s">
        <v>47</v>
      </c>
      <c r="R127">
        <f>+G125/K127</f>
        <v>346.37154925450034</v>
      </c>
    </row>
    <row r="128" spans="1:18" ht="18.75">
      <c r="A128" s="9" t="s">
        <v>10</v>
      </c>
      <c r="B128" s="9" t="s">
        <v>11</v>
      </c>
      <c r="C128" s="9" t="s">
        <v>12</v>
      </c>
      <c r="D128" s="9" t="s">
        <v>13</v>
      </c>
      <c r="E128" s="9" t="s">
        <v>14</v>
      </c>
      <c r="F128" s="9" t="s">
        <v>15</v>
      </c>
      <c r="G128" s="9" t="s">
        <v>16</v>
      </c>
      <c r="H128" s="9" t="s">
        <v>17</v>
      </c>
      <c r="I128" s="14" t="s">
        <v>18</v>
      </c>
      <c r="J128" s="14" t="s">
        <v>19</v>
      </c>
      <c r="K128" s="14" t="s">
        <v>20</v>
      </c>
      <c r="L128" s="14" t="s">
        <v>21</v>
      </c>
      <c r="M128" s="14" t="s">
        <v>22</v>
      </c>
      <c r="N128" s="14" t="s">
        <v>23</v>
      </c>
      <c r="O128" s="14" t="s">
        <v>24</v>
      </c>
      <c r="P128" s="14" t="s">
        <v>25</v>
      </c>
      <c r="Q128" s="14" t="s">
        <v>26</v>
      </c>
      <c r="R128" s="13" t="s">
        <v>27</v>
      </c>
    </row>
    <row r="129" spans="1:18" ht="18.75">
      <c r="A129" s="11"/>
      <c r="B129" s="11"/>
      <c r="C129" s="11" t="s">
        <v>28</v>
      </c>
      <c r="D129" s="12" t="s">
        <v>29</v>
      </c>
      <c r="E129" s="12"/>
      <c r="F129" s="11" t="s">
        <v>30</v>
      </c>
      <c r="G129" s="11" t="s">
        <v>31</v>
      </c>
      <c r="H129" s="11" t="s">
        <v>32</v>
      </c>
      <c r="I129" s="14" t="s">
        <v>33</v>
      </c>
      <c r="J129" s="10" t="s">
        <v>34</v>
      </c>
      <c r="K129" s="14" t="s">
        <v>31</v>
      </c>
      <c r="L129" s="14" t="s">
        <v>35</v>
      </c>
      <c r="M129" s="15"/>
      <c r="N129" s="10" t="s">
        <v>34</v>
      </c>
      <c r="O129" s="15"/>
      <c r="P129" s="10" t="s">
        <v>34</v>
      </c>
      <c r="Q129" s="15"/>
      <c r="R129" s="1"/>
    </row>
    <row r="130" spans="1:18" ht="18.75">
      <c r="A130" s="17" t="s">
        <v>114</v>
      </c>
      <c r="B130" s="17" t="s">
        <v>112</v>
      </c>
      <c r="C130" s="17">
        <v>967</v>
      </c>
      <c r="D130" s="17">
        <f>+G130*H2</f>
        <v>1.9397688689113554E+30</v>
      </c>
      <c r="E130" s="17">
        <f>+D130/E2</f>
        <v>0.9752483001062622</v>
      </c>
      <c r="F130" s="17">
        <f>+H2/(G130*L130)</f>
        <v>8.107890167163754</v>
      </c>
      <c r="G130" s="17">
        <f>+K131*L131*L131</f>
        <v>815028936517.3762</v>
      </c>
      <c r="H130" s="17">
        <f>+G130/A2/B2</f>
        <v>867.0951042165073</v>
      </c>
      <c r="I130" s="18" t="s">
        <v>39</v>
      </c>
      <c r="J130" s="1" t="s">
        <v>65</v>
      </c>
      <c r="K130">
        <f>+L130*B2</f>
        <v>2262960.4092705594</v>
      </c>
      <c r="L130" s="17">
        <f>SQRT(R130)</f>
        <v>360160.49294476694</v>
      </c>
      <c r="M130" s="1" t="s">
        <v>85</v>
      </c>
      <c r="N130" s="1" t="s">
        <v>51</v>
      </c>
      <c r="O130" s="1" t="s">
        <v>50</v>
      </c>
      <c r="P130" s="1" t="s">
        <v>57</v>
      </c>
      <c r="Q130" s="1" t="s">
        <v>43</v>
      </c>
      <c r="R130">
        <f>+G130/B2</f>
        <v>129715580678.2175</v>
      </c>
    </row>
    <row r="131" spans="9:17" ht="18.75">
      <c r="I131" s="18" t="s">
        <v>40</v>
      </c>
      <c r="J131">
        <v>0.0269</v>
      </c>
      <c r="K131">
        <f>+J131*A2*B2</f>
        <v>25284744.7594896</v>
      </c>
      <c r="L131" s="17">
        <f>+K131/M131</f>
        <v>179.53834895115884</v>
      </c>
      <c r="M131">
        <f>+N131*C2</f>
        <v>140832</v>
      </c>
      <c r="N131">
        <v>1.63</v>
      </c>
      <c r="O131">
        <f>+N131/D2</f>
        <v>0.004462696783025325</v>
      </c>
      <c r="P131">
        <f>+F2*1.6</f>
        <v>3.0384000000000004E+27</v>
      </c>
      <c r="Q131" s="17">
        <f>+P131/H2</f>
        <v>1276638655.4621851</v>
      </c>
    </row>
    <row r="132" spans="9:18" ht="18.75">
      <c r="I132" s="18" t="s">
        <v>41</v>
      </c>
      <c r="J132" s="17">
        <f>+K132/A2/B2</f>
        <v>2.407524204353758</v>
      </c>
      <c r="K132">
        <f>+K130*1000</f>
        <v>2262960409.2705593</v>
      </c>
      <c r="L132" s="17">
        <f>SQRT(R132)</f>
        <v>18.977894850187333</v>
      </c>
      <c r="M132">
        <f>+K132/L132</f>
        <v>119241908.92269705</v>
      </c>
      <c r="N132">
        <f>+M132/C2</f>
        <v>1380.11468660529</v>
      </c>
      <c r="O132" s="3">
        <f>+N132/D2</f>
        <v>3.7785480810548666</v>
      </c>
      <c r="P132" s="1" t="s">
        <v>62</v>
      </c>
      <c r="Q132" s="1" t="s">
        <v>50</v>
      </c>
      <c r="R132">
        <f>+G130/K132</f>
        <v>360.16049294476693</v>
      </c>
    </row>
    <row r="133" spans="1:18" ht="18.75">
      <c r="A133" s="9" t="s">
        <v>10</v>
      </c>
      <c r="B133" s="9" t="s">
        <v>11</v>
      </c>
      <c r="C133" s="9" t="s">
        <v>12</v>
      </c>
      <c r="D133" s="9" t="s">
        <v>13</v>
      </c>
      <c r="E133" s="9" t="s">
        <v>14</v>
      </c>
      <c r="F133" s="9" t="s">
        <v>15</v>
      </c>
      <c r="G133" s="9" t="s">
        <v>16</v>
      </c>
      <c r="H133" s="9" t="s">
        <v>17</v>
      </c>
      <c r="I133" s="14" t="s">
        <v>18</v>
      </c>
      <c r="J133" s="14" t="s">
        <v>19</v>
      </c>
      <c r="K133" s="14" t="s">
        <v>20</v>
      </c>
      <c r="L133" s="14" t="s">
        <v>21</v>
      </c>
      <c r="M133" s="14" t="s">
        <v>22</v>
      </c>
      <c r="N133" s="14" t="s">
        <v>23</v>
      </c>
      <c r="O133" s="14" t="s">
        <v>24</v>
      </c>
      <c r="P133" s="14" t="s">
        <v>25</v>
      </c>
      <c r="Q133" s="14" t="s">
        <v>26</v>
      </c>
      <c r="R133" s="13" t="s">
        <v>27</v>
      </c>
    </row>
    <row r="134" spans="1:18" ht="18.75">
      <c r="A134" s="11"/>
      <c r="B134" s="11"/>
      <c r="C134" s="11" t="s">
        <v>28</v>
      </c>
      <c r="D134" s="12" t="s">
        <v>29</v>
      </c>
      <c r="E134" s="12"/>
      <c r="F134" s="11" t="s">
        <v>30</v>
      </c>
      <c r="G134" s="11" t="s">
        <v>31</v>
      </c>
      <c r="H134" s="11" t="s">
        <v>32</v>
      </c>
      <c r="I134" s="14" t="s">
        <v>33</v>
      </c>
      <c r="J134" s="10" t="s">
        <v>34</v>
      </c>
      <c r="K134" s="14" t="s">
        <v>31</v>
      </c>
      <c r="L134" s="14" t="s">
        <v>35</v>
      </c>
      <c r="M134" s="15"/>
      <c r="N134" s="10" t="s">
        <v>34</v>
      </c>
      <c r="O134" s="15"/>
      <c r="P134" s="10" t="s">
        <v>34</v>
      </c>
      <c r="Q134" s="15"/>
      <c r="R134" s="1"/>
    </row>
    <row r="135" spans="1:18" ht="18.75">
      <c r="A135" s="17" t="s">
        <v>115</v>
      </c>
      <c r="B135" s="17" t="s">
        <v>62</v>
      </c>
      <c r="C135" s="17">
        <v>1000</v>
      </c>
      <c r="D135" s="17">
        <f>+G135*H2</f>
        <v>4.565061568001151E+29</v>
      </c>
      <c r="E135" s="17">
        <f>+D135/E2</f>
        <v>0.22951541317250634</v>
      </c>
      <c r="F135" s="17">
        <f>+H2/(G135*L135)</f>
        <v>71.01709052800177</v>
      </c>
      <c r="G135" s="17">
        <f>+K136*L136*L136</f>
        <v>191809309579.8803</v>
      </c>
      <c r="H135" s="17">
        <f>+G135/A2/B2</f>
        <v>204.06258701750622</v>
      </c>
      <c r="I135" s="18" t="s">
        <v>39</v>
      </c>
      <c r="J135" s="1" t="s">
        <v>43</v>
      </c>
      <c r="K135">
        <f>+L135*B2</f>
        <v>1097805.198544944</v>
      </c>
      <c r="L135" s="17">
        <f>SQRT(R135)</f>
        <v>174720.71532737205</v>
      </c>
      <c r="M135" s="1" t="s">
        <v>85</v>
      </c>
      <c r="N135" s="1" t="s">
        <v>51</v>
      </c>
      <c r="O135" s="1" t="s">
        <v>50</v>
      </c>
      <c r="P135" s="1" t="s">
        <v>57</v>
      </c>
      <c r="Q135" s="1" t="s">
        <v>43</v>
      </c>
      <c r="R135">
        <f>+G135/B2</f>
        <v>30527328364.50858</v>
      </c>
    </row>
    <row r="136" spans="9:17" ht="18.75">
      <c r="I136" s="18" t="s">
        <v>40</v>
      </c>
      <c r="J136">
        <v>0.0269</v>
      </c>
      <c r="K136">
        <f>+J136*A2*B2</f>
        <v>25284744.7594896</v>
      </c>
      <c r="L136" s="17">
        <f>+K136/M136</f>
        <v>87.0974728542824</v>
      </c>
      <c r="M136">
        <f>+N136*C2</f>
        <v>290304</v>
      </c>
      <c r="N136">
        <v>3.36</v>
      </c>
      <c r="O136">
        <f>+N136/D2</f>
        <v>0.00919917864476386</v>
      </c>
      <c r="P136">
        <f>+F2*0.5</f>
        <v>9.495E+26</v>
      </c>
      <c r="Q136" s="17">
        <f>+P136/H2</f>
        <v>398949579.8319328</v>
      </c>
    </row>
    <row r="137" spans="9:18" ht="18.75">
      <c r="I137" s="18" t="s">
        <v>41</v>
      </c>
      <c r="J137" s="17">
        <f>+K137/A2/B2</f>
        <v>1.1679358491359004</v>
      </c>
      <c r="K137">
        <f>+K135*1000</f>
        <v>1097805198.544944</v>
      </c>
      <c r="L137" s="17">
        <f>SQRT(R137)</f>
        <v>13.218196371947727</v>
      </c>
      <c r="M137">
        <f>+K137/L137</f>
        <v>83052571.44422196</v>
      </c>
      <c r="N137">
        <f>+M137/C2</f>
        <v>961.2566139377542</v>
      </c>
      <c r="O137" s="3">
        <f>+N137/D2</f>
        <v>2.631777177105419</v>
      </c>
      <c r="P137" s="1" t="s">
        <v>58</v>
      </c>
      <c r="Q137" s="1" t="s">
        <v>50</v>
      </c>
      <c r="R137">
        <f>+G135/K137</f>
        <v>174.72071532737203</v>
      </c>
    </row>
    <row r="138" spans="1:18" ht="18.75">
      <c r="A138" s="9" t="s">
        <v>10</v>
      </c>
      <c r="B138" s="9" t="s">
        <v>11</v>
      </c>
      <c r="C138" s="9" t="s">
        <v>12</v>
      </c>
      <c r="D138" s="9" t="s">
        <v>13</v>
      </c>
      <c r="E138" s="9" t="s">
        <v>14</v>
      </c>
      <c r="F138" s="9" t="s">
        <v>15</v>
      </c>
      <c r="G138" s="9" t="s">
        <v>16</v>
      </c>
      <c r="H138" s="9" t="s">
        <v>17</v>
      </c>
      <c r="I138" s="14" t="s">
        <v>18</v>
      </c>
      <c r="J138" s="14" t="s">
        <v>19</v>
      </c>
      <c r="K138" s="14" t="s">
        <v>20</v>
      </c>
      <c r="L138" s="14" t="s">
        <v>21</v>
      </c>
      <c r="M138" s="14" t="s">
        <v>22</v>
      </c>
      <c r="N138" s="14" t="s">
        <v>23</v>
      </c>
      <c r="O138" s="14" t="s">
        <v>24</v>
      </c>
      <c r="P138" s="14" t="s">
        <v>25</v>
      </c>
      <c r="Q138" s="14" t="s">
        <v>26</v>
      </c>
      <c r="R138" s="13" t="s">
        <v>27</v>
      </c>
    </row>
    <row r="139" spans="1:18" ht="18.75">
      <c r="A139" s="11"/>
      <c r="B139" s="11"/>
      <c r="C139" s="11" t="s">
        <v>28</v>
      </c>
      <c r="D139" s="12" t="s">
        <v>29</v>
      </c>
      <c r="E139" s="12"/>
      <c r="F139" s="11" t="s">
        <v>30</v>
      </c>
      <c r="G139" s="11" t="s">
        <v>31</v>
      </c>
      <c r="H139" s="11" t="s">
        <v>32</v>
      </c>
      <c r="I139" s="14" t="s">
        <v>33</v>
      </c>
      <c r="J139" s="10" t="s">
        <v>34</v>
      </c>
      <c r="K139" s="14" t="s">
        <v>31</v>
      </c>
      <c r="L139" s="14" t="s">
        <v>35</v>
      </c>
      <c r="M139" s="15"/>
      <c r="N139" s="10" t="s">
        <v>34</v>
      </c>
      <c r="O139" s="15"/>
      <c r="P139" s="10" t="s">
        <v>34</v>
      </c>
      <c r="Q139" s="15"/>
      <c r="R139" s="1"/>
    </row>
    <row r="140" spans="1:18" ht="18.75">
      <c r="A140" s="17" t="s">
        <v>116</v>
      </c>
      <c r="B140" s="17" t="s">
        <v>117</v>
      </c>
      <c r="C140" s="17">
        <v>490</v>
      </c>
      <c r="D140" s="17">
        <f>+G140*H2</f>
        <v>4.565061568001151E+29</v>
      </c>
      <c r="E140" s="17">
        <f>+D140/E2</f>
        <v>0.22951541317250634</v>
      </c>
      <c r="F140" s="17">
        <f>+H2/(G140*L140)</f>
        <v>71.01709052800177</v>
      </c>
      <c r="G140" s="17">
        <f>+K141*L141*L141</f>
        <v>191809309579.8803</v>
      </c>
      <c r="H140" s="17">
        <f>+G140/A2/B2</f>
        <v>204.06258701750622</v>
      </c>
      <c r="I140" s="18" t="s">
        <v>39</v>
      </c>
      <c r="J140" s="1" t="s">
        <v>65</v>
      </c>
      <c r="K140" s="1">
        <f>+L140*B2</f>
        <v>1097805.198544944</v>
      </c>
      <c r="L140" s="17">
        <f>SQRT(R140)</f>
        <v>174720.71532737205</v>
      </c>
      <c r="M140" s="1" t="s">
        <v>85</v>
      </c>
      <c r="N140" s="1" t="s">
        <v>51</v>
      </c>
      <c r="O140" s="1" t="s">
        <v>50</v>
      </c>
      <c r="P140" s="1" t="s">
        <v>57</v>
      </c>
      <c r="Q140" s="1" t="s">
        <v>43</v>
      </c>
      <c r="R140" s="1">
        <f>+G140/B2</f>
        <v>30527328364.50858</v>
      </c>
    </row>
    <row r="141" spans="4:18" ht="18.75">
      <c r="D141" s="1"/>
      <c r="E141" s="1"/>
      <c r="F141" s="1"/>
      <c r="G141" s="1"/>
      <c r="H141" s="1"/>
      <c r="I141" s="18" t="s">
        <v>40</v>
      </c>
      <c r="J141" s="1">
        <v>0.0269</v>
      </c>
      <c r="K141" s="1">
        <f>+J141*A2*B2</f>
        <v>25284744.7594896</v>
      </c>
      <c r="L141" s="17">
        <f>+K141/M141</f>
        <v>87.0974728542824</v>
      </c>
      <c r="M141" s="1">
        <f>+N141*C2</f>
        <v>290304</v>
      </c>
      <c r="N141" s="1">
        <v>3.36</v>
      </c>
      <c r="O141" s="1">
        <f>+N141/D2</f>
        <v>0.00919917864476386</v>
      </c>
      <c r="P141" s="1">
        <f>+F2*0.5</f>
        <v>9.495E+26</v>
      </c>
      <c r="Q141" s="17">
        <f>+P141/H2</f>
        <v>398949579.8319328</v>
      </c>
      <c r="R141" s="1"/>
    </row>
    <row r="142" spans="4:18" ht="18.75">
      <c r="D142" s="1"/>
      <c r="E142" s="1"/>
      <c r="F142" s="1"/>
      <c r="G142" s="1"/>
      <c r="H142" s="1"/>
      <c r="I142" s="18" t="s">
        <v>41</v>
      </c>
      <c r="J142" s="17">
        <f>+K142/A2/B2</f>
        <v>1.1679358491359004</v>
      </c>
      <c r="K142" s="1">
        <f>+K140*1000</f>
        <v>1097805198.544944</v>
      </c>
      <c r="L142" s="17">
        <f>SQRT(R142)</f>
        <v>13.218196371947727</v>
      </c>
      <c r="M142" s="1">
        <f>+K142/L142</f>
        <v>83052571.44422196</v>
      </c>
      <c r="N142" s="1">
        <f>+M142/C2</f>
        <v>961.2566139377542</v>
      </c>
      <c r="O142" s="3">
        <f>+N142/D2</f>
        <v>2.631777177105419</v>
      </c>
      <c r="P142" s="1" t="s">
        <v>50</v>
      </c>
      <c r="Q142" s="1" t="s">
        <v>50</v>
      </c>
      <c r="R142" s="1">
        <f>+G140/K142</f>
        <v>174.72071532737203</v>
      </c>
    </row>
    <row r="143" spans="1:18" ht="18.75">
      <c r="A143" s="9" t="s">
        <v>10</v>
      </c>
      <c r="B143" s="9" t="s">
        <v>11</v>
      </c>
      <c r="C143" s="9" t="s">
        <v>12</v>
      </c>
      <c r="D143" s="9" t="s">
        <v>13</v>
      </c>
      <c r="E143" s="9" t="s">
        <v>14</v>
      </c>
      <c r="F143" s="9" t="s">
        <v>15</v>
      </c>
      <c r="G143" s="9" t="s">
        <v>16</v>
      </c>
      <c r="H143" s="9" t="s">
        <v>17</v>
      </c>
      <c r="I143" s="14" t="s">
        <v>18</v>
      </c>
      <c r="J143" s="14" t="s">
        <v>19</v>
      </c>
      <c r="K143" s="14" t="s">
        <v>20</v>
      </c>
      <c r="L143" s="14" t="s">
        <v>21</v>
      </c>
      <c r="M143" s="14" t="s">
        <v>22</v>
      </c>
      <c r="N143" s="14" t="s">
        <v>23</v>
      </c>
      <c r="O143" s="14" t="s">
        <v>24</v>
      </c>
      <c r="P143" s="14" t="s">
        <v>25</v>
      </c>
      <c r="Q143" s="14" t="s">
        <v>26</v>
      </c>
      <c r="R143" s="13" t="s">
        <v>27</v>
      </c>
    </row>
    <row r="144" spans="1:18" ht="18.75">
      <c r="A144" s="11"/>
      <c r="B144" s="11"/>
      <c r="C144" s="11" t="s">
        <v>28</v>
      </c>
      <c r="D144" s="12" t="s">
        <v>29</v>
      </c>
      <c r="E144" s="12"/>
      <c r="F144" s="11" t="s">
        <v>30</v>
      </c>
      <c r="G144" s="11" t="s">
        <v>31</v>
      </c>
      <c r="H144" s="11" t="s">
        <v>32</v>
      </c>
      <c r="I144" s="14" t="s">
        <v>33</v>
      </c>
      <c r="J144" s="10" t="s">
        <v>34</v>
      </c>
      <c r="K144" s="14" t="s">
        <v>31</v>
      </c>
      <c r="L144" s="14" t="s">
        <v>35</v>
      </c>
      <c r="M144" s="15"/>
      <c r="N144" s="10" t="s">
        <v>34</v>
      </c>
      <c r="O144" s="15"/>
      <c r="P144" s="10" t="s">
        <v>34</v>
      </c>
      <c r="Q144" s="15"/>
      <c r="R144" s="1"/>
    </row>
    <row r="145" spans="1:18" ht="18.75">
      <c r="A145" s="17" t="s">
        <v>118</v>
      </c>
      <c r="B145" s="17" t="s">
        <v>62</v>
      </c>
      <c r="C145" s="17">
        <v>160</v>
      </c>
      <c r="D145" s="17">
        <f>+G145*H2</f>
        <v>1.9829309818704166E+30</v>
      </c>
      <c r="E145" s="17">
        <f>+D145/E2</f>
        <v>0.9969487088337942</v>
      </c>
      <c r="F145" s="17">
        <f>+H2/(G145*L145)</f>
        <v>7.844611442113533</v>
      </c>
      <c r="G145" s="17">
        <f>+K146*L146*L146</f>
        <v>833164278096.8137</v>
      </c>
      <c r="H145" s="17">
        <f>+G145/A2/B2</f>
        <v>886.388978571469</v>
      </c>
      <c r="I145" s="18" t="s">
        <v>39</v>
      </c>
      <c r="J145" s="1" t="s">
        <v>119</v>
      </c>
      <c r="K145">
        <f>+L145*B2</f>
        <v>2287998.6433863766</v>
      </c>
      <c r="L145" s="17">
        <f>SQRT(R145)</f>
        <v>364145.4423520462</v>
      </c>
      <c r="M145" s="1" t="s">
        <v>85</v>
      </c>
      <c r="N145" s="1" t="s">
        <v>51</v>
      </c>
      <c r="O145" s="1" t="s">
        <v>50</v>
      </c>
      <c r="P145" s="1" t="s">
        <v>57</v>
      </c>
      <c r="Q145" s="1" t="s">
        <v>43</v>
      </c>
      <c r="R145">
        <f>+G145/B2</f>
        <v>132601903185.7674</v>
      </c>
    </row>
    <row r="146" spans="9:17" ht="18.75">
      <c r="I146" s="18" t="s">
        <v>40</v>
      </c>
      <c r="J146">
        <v>0.0793</v>
      </c>
      <c r="K146">
        <f>+J146*A2*B2</f>
        <v>74538299.6069712</v>
      </c>
      <c r="L146" s="17">
        <f>+K146/M146</f>
        <v>105.72448541747686</v>
      </c>
      <c r="M146">
        <f>+N146*C2</f>
        <v>705024</v>
      </c>
      <c r="N146">
        <v>8.16</v>
      </c>
      <c r="O146">
        <f>+N146/D2</f>
        <v>0.02234086242299795</v>
      </c>
      <c r="P146">
        <f>+F2*2.23</f>
        <v>4.23477E+27</v>
      </c>
      <c r="Q146" s="17">
        <f>+P146/H2</f>
        <v>1779315126.0504203</v>
      </c>
    </row>
    <row r="147" spans="9:18" ht="18.75">
      <c r="I147" s="18" t="s">
        <v>41</v>
      </c>
      <c r="J147" s="17">
        <f>+K147/A2/B2</f>
        <v>2.4341619459691914</v>
      </c>
      <c r="K147">
        <f>+K145*1000</f>
        <v>2287998643.3863764</v>
      </c>
      <c r="L147" s="17">
        <f>SQRT(R147)</f>
        <v>19.082595272971815</v>
      </c>
      <c r="M147">
        <f>+K147/L147</f>
        <v>119899762.61913647</v>
      </c>
      <c r="N147">
        <f>+M147/C2</f>
        <v>1387.7287340177832</v>
      </c>
      <c r="O147" s="3">
        <f>+N147/D2</f>
        <v>3.799394206756422</v>
      </c>
      <c r="P147" s="1" t="s">
        <v>44</v>
      </c>
      <c r="Q147" s="1" t="s">
        <v>50</v>
      </c>
      <c r="R147">
        <f>+G145/K147</f>
        <v>364.14544235204625</v>
      </c>
    </row>
    <row r="148" spans="1:18" ht="18.75">
      <c r="A148" s="9" t="s">
        <v>10</v>
      </c>
      <c r="B148" s="9" t="s">
        <v>11</v>
      </c>
      <c r="C148" s="9" t="s">
        <v>12</v>
      </c>
      <c r="D148" s="9" t="s">
        <v>13</v>
      </c>
      <c r="E148" s="9" t="s">
        <v>14</v>
      </c>
      <c r="F148" s="9" t="s">
        <v>15</v>
      </c>
      <c r="G148" s="9" t="s">
        <v>16</v>
      </c>
      <c r="H148" s="9" t="s">
        <v>17</v>
      </c>
      <c r="I148" s="14" t="s">
        <v>18</v>
      </c>
      <c r="J148" s="14" t="s">
        <v>19</v>
      </c>
      <c r="K148" s="14" t="s">
        <v>20</v>
      </c>
      <c r="L148" s="14" t="s">
        <v>21</v>
      </c>
      <c r="M148" s="14" t="s">
        <v>22</v>
      </c>
      <c r="N148" s="14" t="s">
        <v>23</v>
      </c>
      <c r="O148" s="14" t="s">
        <v>24</v>
      </c>
      <c r="P148" s="14" t="s">
        <v>25</v>
      </c>
      <c r="Q148" s="14" t="s">
        <v>26</v>
      </c>
      <c r="R148" s="13" t="s">
        <v>27</v>
      </c>
    </row>
    <row r="149" spans="1:18" ht="18.75">
      <c r="A149" s="11"/>
      <c r="B149" s="11"/>
      <c r="C149" s="11" t="s">
        <v>28</v>
      </c>
      <c r="D149" s="12" t="s">
        <v>29</v>
      </c>
      <c r="E149" s="12"/>
      <c r="F149" s="11" t="s">
        <v>30</v>
      </c>
      <c r="G149" s="11" t="s">
        <v>31</v>
      </c>
      <c r="H149" s="11" t="s">
        <v>32</v>
      </c>
      <c r="I149" s="14" t="s">
        <v>33</v>
      </c>
      <c r="J149" s="10" t="s">
        <v>34</v>
      </c>
      <c r="K149" s="14" t="s">
        <v>31</v>
      </c>
      <c r="L149" s="14" t="s">
        <v>35</v>
      </c>
      <c r="M149" s="15"/>
      <c r="N149" s="10" t="s">
        <v>34</v>
      </c>
      <c r="O149" s="15"/>
      <c r="P149" s="10" t="s">
        <v>34</v>
      </c>
      <c r="Q149" s="15"/>
      <c r="R149" s="1"/>
    </row>
    <row r="150" spans="1:18" ht="18.75">
      <c r="A150" s="17" t="s">
        <v>120</v>
      </c>
      <c r="B150" s="17" t="s">
        <v>121</v>
      </c>
      <c r="C150" s="17">
        <v>450</v>
      </c>
      <c r="D150" s="17">
        <f>+G150*H2</f>
        <v>2.0111449286355838E+30</v>
      </c>
      <c r="E150" s="17">
        <f>+D150/E2</f>
        <v>1.0111336996659548</v>
      </c>
      <c r="F150" s="17">
        <f>+H2/(G150*L150)</f>
        <v>7.680116047695935</v>
      </c>
      <c r="G150" s="17">
        <f>+K151*L151*L151</f>
        <v>845018877577.9764</v>
      </c>
      <c r="H150" s="17">
        <f>+G150/A2/B2</f>
        <v>899.0008806917621</v>
      </c>
      <c r="I150" s="18" t="s">
        <v>39</v>
      </c>
      <c r="J150" s="1" t="s">
        <v>65</v>
      </c>
      <c r="K150">
        <f>+L150*B2</f>
        <v>2304218.438342585</v>
      </c>
      <c r="L150" s="17">
        <f>SQRT(R150)</f>
        <v>366726.8968587002</v>
      </c>
      <c r="M150" s="1" t="s">
        <v>85</v>
      </c>
      <c r="N150" s="1" t="s">
        <v>51</v>
      </c>
      <c r="O150" s="1" t="s">
        <v>50</v>
      </c>
      <c r="P150" s="1" t="s">
        <v>57</v>
      </c>
      <c r="Q150" s="1" t="s">
        <v>43</v>
      </c>
      <c r="R150">
        <f>+G150/B2</f>
        <v>134488616879.61174</v>
      </c>
    </row>
    <row r="151" spans="9:17" ht="18.75">
      <c r="I151" s="18" t="s">
        <v>40</v>
      </c>
      <c r="J151">
        <v>0.0311</v>
      </c>
      <c r="K151">
        <f>+J151*A2*B2</f>
        <v>29232548.773982402</v>
      </c>
      <c r="L151" s="17">
        <f>+K151/M151</f>
        <v>170.01994215279174</v>
      </c>
      <c r="M151">
        <f>+N151*C2</f>
        <v>171936</v>
      </c>
      <c r="N151">
        <v>1.99</v>
      </c>
      <c r="O151">
        <f>+N151/D2</f>
        <v>0.005448323066392881</v>
      </c>
      <c r="P151">
        <f>+F2*2.3</f>
        <v>4.3677E+27</v>
      </c>
      <c r="Q151" s="17">
        <f>+P151/H2</f>
        <v>1835168067.2268906</v>
      </c>
    </row>
    <row r="152" spans="9:18" ht="18.75">
      <c r="I152" s="18" t="s">
        <v>41</v>
      </c>
      <c r="J152" s="17">
        <f>+K152/A2/B2</f>
        <v>2.4514179036018375</v>
      </c>
      <c r="K152">
        <f>+K150*1000</f>
        <v>2304218438.342585</v>
      </c>
      <c r="L152" s="17">
        <f>SQRT(R152)</f>
        <v>19.150114800144156</v>
      </c>
      <c r="M152">
        <f>+K152/L152</f>
        <v>120324001.31226575</v>
      </c>
      <c r="N152">
        <f>+M152/C2</f>
        <v>1392.6389040771498</v>
      </c>
      <c r="O152" s="3">
        <f>+N152/D2</f>
        <v>3.8128375197184114</v>
      </c>
      <c r="P152" s="1" t="s">
        <v>47</v>
      </c>
      <c r="Q152" s="1" t="s">
        <v>43</v>
      </c>
      <c r="R152">
        <f>+G150/K152</f>
        <v>366.7268968587002</v>
      </c>
    </row>
    <row r="153" spans="1:18" ht="18.75">
      <c r="A153" s="9" t="s">
        <v>10</v>
      </c>
      <c r="B153" s="9" t="s">
        <v>11</v>
      </c>
      <c r="C153" s="9" t="s">
        <v>12</v>
      </c>
      <c r="D153" s="9" t="s">
        <v>13</v>
      </c>
      <c r="E153" s="9" t="s">
        <v>14</v>
      </c>
      <c r="F153" s="9" t="s">
        <v>15</v>
      </c>
      <c r="G153" s="9" t="s">
        <v>16</v>
      </c>
      <c r="H153" s="9" t="s">
        <v>17</v>
      </c>
      <c r="I153" s="14" t="s">
        <v>18</v>
      </c>
      <c r="J153" s="14" t="s">
        <v>19</v>
      </c>
      <c r="K153" s="14" t="s">
        <v>20</v>
      </c>
      <c r="L153" s="14" t="s">
        <v>21</v>
      </c>
      <c r="M153" s="14" t="s">
        <v>22</v>
      </c>
      <c r="N153" s="14" t="s">
        <v>23</v>
      </c>
      <c r="O153" s="14" t="s">
        <v>24</v>
      </c>
      <c r="P153" s="14" t="s">
        <v>25</v>
      </c>
      <c r="Q153" s="14" t="s">
        <v>26</v>
      </c>
      <c r="R153" s="13" t="s">
        <v>27</v>
      </c>
    </row>
    <row r="154" spans="1:18" ht="18.75">
      <c r="A154" s="11"/>
      <c r="B154" s="11"/>
      <c r="C154" s="11" t="s">
        <v>28</v>
      </c>
      <c r="D154" s="12" t="s">
        <v>29</v>
      </c>
      <c r="E154" s="12"/>
      <c r="F154" s="11" t="s">
        <v>30</v>
      </c>
      <c r="G154" s="11" t="s">
        <v>31</v>
      </c>
      <c r="H154" s="11" t="s">
        <v>32</v>
      </c>
      <c r="I154" s="14" t="s">
        <v>33</v>
      </c>
      <c r="J154" s="10" t="s">
        <v>34</v>
      </c>
      <c r="K154" s="14" t="s">
        <v>31</v>
      </c>
      <c r="L154" s="14" t="s">
        <v>35</v>
      </c>
      <c r="M154" s="15"/>
      <c r="N154" s="10" t="s">
        <v>34</v>
      </c>
      <c r="O154" s="15"/>
      <c r="P154" s="10" t="s">
        <v>34</v>
      </c>
      <c r="Q154" s="15"/>
      <c r="R154" s="1"/>
    </row>
    <row r="155" spans="1:18" ht="18.75">
      <c r="A155" s="17" t="s">
        <v>122</v>
      </c>
      <c r="B155" s="17" t="s">
        <v>123</v>
      </c>
      <c r="C155" s="17">
        <v>300</v>
      </c>
      <c r="D155" s="17">
        <f>+G155*H2</f>
        <v>1.9819636505285128E+30</v>
      </c>
      <c r="E155" s="17">
        <f>+D155/E2</f>
        <v>0.9964623682898506</v>
      </c>
      <c r="F155" s="17">
        <f>+H2/(G155*L155)</f>
        <v>7.850355188478686</v>
      </c>
      <c r="G155" s="17">
        <f>+K156*L156*L156</f>
        <v>832757836356.518</v>
      </c>
      <c r="H155" s="17">
        <f>+G155/A2/B2</f>
        <v>885.9565722759752</v>
      </c>
      <c r="I155" s="18" t="s">
        <v>39</v>
      </c>
      <c r="J155" s="1" t="s">
        <v>95</v>
      </c>
      <c r="K155">
        <f>+L155*B2</f>
        <v>2287440.499203263</v>
      </c>
      <c r="L155" s="17">
        <f>SQRT(R155)</f>
        <v>364056.61115407164</v>
      </c>
      <c r="M155" s="1" t="s">
        <v>85</v>
      </c>
      <c r="N155" s="1" t="s">
        <v>51</v>
      </c>
      <c r="O155" s="1" t="s">
        <v>50</v>
      </c>
      <c r="P155" s="1" t="s">
        <v>57</v>
      </c>
      <c r="Q155" s="1" t="s">
        <v>43</v>
      </c>
      <c r="R155">
        <f>+G155/B2</f>
        <v>132537216124.98694</v>
      </c>
    </row>
    <row r="156" spans="9:17" ht="18.75">
      <c r="I156" s="18" t="s">
        <v>40</v>
      </c>
      <c r="J156">
        <v>0.0415</v>
      </c>
      <c r="K156">
        <f>+J156*A2*B2</f>
        <v>39008063.476536006</v>
      </c>
      <c r="L156" s="17">
        <f>+K156/M156</f>
        <v>146.1107495675117</v>
      </c>
      <c r="M156">
        <f>+N156*C2</f>
        <v>266976</v>
      </c>
      <c r="N156">
        <v>3.09</v>
      </c>
      <c r="O156">
        <f>+N156/D2</f>
        <v>0.008459958932238193</v>
      </c>
      <c r="P156">
        <f>+F2*3.13</f>
        <v>5.94387E+27</v>
      </c>
      <c r="Q156" s="17">
        <f>+P156/H2</f>
        <v>2497424369.747899</v>
      </c>
    </row>
    <row r="157" spans="9:18" ht="18.75">
      <c r="I157" s="18" t="s">
        <v>41</v>
      </c>
      <c r="J157" s="17">
        <f>+K157/A2/B2</f>
        <v>2.433568146084377</v>
      </c>
      <c r="K157">
        <f>+K155*1000</f>
        <v>2287440499.203263</v>
      </c>
      <c r="L157" s="17">
        <f>SQRT(R157)</f>
        <v>19.080267586018593</v>
      </c>
      <c r="M157">
        <f>+K157/L157</f>
        <v>119885137.29647197</v>
      </c>
      <c r="N157">
        <f>+M157/C2</f>
        <v>1387.559459449907</v>
      </c>
      <c r="O157" s="3">
        <f>+N157/D2</f>
        <v>3.798930758247521</v>
      </c>
      <c r="P157" s="1" t="s">
        <v>57</v>
      </c>
      <c r="Q157" s="1" t="s">
        <v>95</v>
      </c>
      <c r="R157">
        <f>+G155/K157</f>
        <v>364.05661115407173</v>
      </c>
    </row>
    <row r="158" spans="1:18" ht="18.75">
      <c r="A158" s="9" t="s">
        <v>10</v>
      </c>
      <c r="B158" s="9" t="s">
        <v>11</v>
      </c>
      <c r="C158" s="9" t="s">
        <v>12</v>
      </c>
      <c r="D158" s="9" t="s">
        <v>13</v>
      </c>
      <c r="E158" s="9" t="s">
        <v>14</v>
      </c>
      <c r="F158" s="9" t="s">
        <v>15</v>
      </c>
      <c r="G158" s="9" t="s">
        <v>16</v>
      </c>
      <c r="H158" s="9" t="s">
        <v>17</v>
      </c>
      <c r="I158" s="14" t="s">
        <v>18</v>
      </c>
      <c r="J158" s="14" t="s">
        <v>19</v>
      </c>
      <c r="K158" s="14" t="s">
        <v>20</v>
      </c>
      <c r="L158" s="14" t="s">
        <v>21</v>
      </c>
      <c r="M158" s="14" t="s">
        <v>22</v>
      </c>
      <c r="N158" s="14" t="s">
        <v>23</v>
      </c>
      <c r="O158" s="14" t="s">
        <v>24</v>
      </c>
      <c r="P158" s="14" t="s">
        <v>25</v>
      </c>
      <c r="Q158" s="14" t="s">
        <v>26</v>
      </c>
      <c r="R158" s="13" t="s">
        <v>27</v>
      </c>
    </row>
    <row r="159" spans="1:18" ht="18.75">
      <c r="A159" s="11"/>
      <c r="B159" s="11"/>
      <c r="C159" s="11" t="s">
        <v>28</v>
      </c>
      <c r="D159" s="12" t="s">
        <v>29</v>
      </c>
      <c r="E159" s="12"/>
      <c r="F159" s="11" t="s">
        <v>30</v>
      </c>
      <c r="G159" s="11" t="s">
        <v>31</v>
      </c>
      <c r="H159" s="11" t="s">
        <v>32</v>
      </c>
      <c r="I159" s="14" t="s">
        <v>33</v>
      </c>
      <c r="J159" s="10" t="s">
        <v>34</v>
      </c>
      <c r="K159" s="14" t="s">
        <v>31</v>
      </c>
      <c r="L159" s="14" t="s">
        <v>35</v>
      </c>
      <c r="M159" s="15"/>
      <c r="N159" s="10" t="s">
        <v>34</v>
      </c>
      <c r="O159" s="15"/>
      <c r="P159" s="10" t="s">
        <v>34</v>
      </c>
      <c r="Q159" s="15"/>
      <c r="R159" s="1"/>
    </row>
    <row r="160" spans="1:18" ht="18.75">
      <c r="A160" s="17" t="s">
        <v>124</v>
      </c>
      <c r="B160" s="17" t="s">
        <v>125</v>
      </c>
      <c r="C160" s="17">
        <v>290</v>
      </c>
      <c r="D160" s="17">
        <f>+G160*H2</f>
        <v>1.98644272673828E+30</v>
      </c>
      <c r="E160" s="17">
        <f>+D160/E2</f>
        <v>0.9987142919750026</v>
      </c>
      <c r="F160" s="17">
        <f>+H2/(G160*L160)</f>
        <v>7.823818422511818</v>
      </c>
      <c r="G160" s="17">
        <f>+K161*L161*L161</f>
        <v>834639801150.5378</v>
      </c>
      <c r="H160" s="17">
        <f>+G160/A2/B2</f>
        <v>887.9587618745131</v>
      </c>
      <c r="I160" s="18" t="s">
        <v>39</v>
      </c>
      <c r="J160" s="1" t="s">
        <v>65</v>
      </c>
      <c r="K160">
        <f>+L160*B2</f>
        <v>2290023.7550272397</v>
      </c>
      <c r="L160" s="17">
        <f>SQRT(R160)</f>
        <v>364467.7481263114</v>
      </c>
      <c r="M160" s="1" t="s">
        <v>85</v>
      </c>
      <c r="N160" s="1" t="s">
        <v>51</v>
      </c>
      <c r="O160" s="1" t="s">
        <v>50</v>
      </c>
      <c r="P160" s="1" t="s">
        <v>57</v>
      </c>
      <c r="Q160" s="1" t="s">
        <v>43</v>
      </c>
      <c r="R160">
        <f>+G160/B2</f>
        <v>132836739424.26436</v>
      </c>
    </row>
    <row r="161" spans="9:17" ht="18.75">
      <c r="I161" s="18" t="s">
        <v>40</v>
      </c>
      <c r="J161">
        <v>0.047</v>
      </c>
      <c r="K161">
        <f>+J161*A2*B2</f>
        <v>44177806.828848</v>
      </c>
      <c r="L161" s="17">
        <f>+K161/M161</f>
        <v>137.4508625449522</v>
      </c>
      <c r="M161">
        <f>+N161*C2</f>
        <v>321408</v>
      </c>
      <c r="N161">
        <v>3.72</v>
      </c>
      <c r="O161">
        <f>+N161/D2</f>
        <v>0.010184804928131418</v>
      </c>
      <c r="P161" s="21">
        <f>+F2*0.47</f>
        <v>8.9253E+26</v>
      </c>
      <c r="Q161" s="17">
        <f>+P161/H2</f>
        <v>375012605.0420168</v>
      </c>
    </row>
    <row r="162" spans="9:18" ht="18.75">
      <c r="I162" s="18" t="s">
        <v>41</v>
      </c>
      <c r="J162" s="17">
        <f>+K162/A2/B2</f>
        <v>2.436316427007359</v>
      </c>
      <c r="K162">
        <f>+K160*1000</f>
        <v>2290023755.02724</v>
      </c>
      <c r="L162" s="17">
        <f>SQRT(R162)</f>
        <v>19.091038424515084</v>
      </c>
      <c r="M162">
        <f>+K162/L162</f>
        <v>119952812.62891318</v>
      </c>
      <c r="N162">
        <f>+M162/C2</f>
        <v>1388.342738760569</v>
      </c>
      <c r="O162" s="3">
        <f>+N162/D2</f>
        <v>3.8010752601247613</v>
      </c>
      <c r="P162" s="21" t="s">
        <v>65</v>
      </c>
      <c r="Q162" s="1" t="s">
        <v>126</v>
      </c>
      <c r="R162">
        <f>+G160/K162</f>
        <v>364.4677481263114</v>
      </c>
    </row>
    <row r="163" spans="1:18" ht="18.75">
      <c r="A163" s="9" t="s">
        <v>10</v>
      </c>
      <c r="B163" s="9" t="s">
        <v>11</v>
      </c>
      <c r="C163" s="9" t="s">
        <v>12</v>
      </c>
      <c r="D163" s="9" t="s">
        <v>13</v>
      </c>
      <c r="E163" s="9" t="s">
        <v>14</v>
      </c>
      <c r="F163" s="9" t="s">
        <v>15</v>
      </c>
      <c r="G163" s="9" t="s">
        <v>16</v>
      </c>
      <c r="H163" s="9" t="s">
        <v>17</v>
      </c>
      <c r="I163" s="14" t="s">
        <v>18</v>
      </c>
      <c r="J163" s="14" t="s">
        <v>19</v>
      </c>
      <c r="K163" s="14" t="s">
        <v>20</v>
      </c>
      <c r="L163" s="14" t="s">
        <v>21</v>
      </c>
      <c r="M163" s="14" t="s">
        <v>22</v>
      </c>
      <c r="N163" s="14" t="s">
        <v>23</v>
      </c>
      <c r="O163" s="14" t="s">
        <v>24</v>
      </c>
      <c r="P163" s="14" t="s">
        <v>25</v>
      </c>
      <c r="Q163" s="14" t="s">
        <v>26</v>
      </c>
      <c r="R163" s="13" t="s">
        <v>27</v>
      </c>
    </row>
    <row r="164" spans="1:18" ht="18.75">
      <c r="A164" s="11"/>
      <c r="B164" s="11"/>
      <c r="C164" s="11" t="s">
        <v>28</v>
      </c>
      <c r="D164" s="12" t="s">
        <v>29</v>
      </c>
      <c r="E164" s="12"/>
      <c r="F164" s="11" t="s">
        <v>30</v>
      </c>
      <c r="G164" s="11" t="s">
        <v>31</v>
      </c>
      <c r="H164" s="11" t="s">
        <v>32</v>
      </c>
      <c r="I164" s="14" t="s">
        <v>33</v>
      </c>
      <c r="J164" s="10" t="s">
        <v>34</v>
      </c>
      <c r="K164" s="14" t="s">
        <v>31</v>
      </c>
      <c r="L164" s="14" t="s">
        <v>35</v>
      </c>
      <c r="M164" s="15"/>
      <c r="N164" s="10" t="s">
        <v>34</v>
      </c>
      <c r="O164" s="15"/>
      <c r="P164" s="10" t="s">
        <v>34</v>
      </c>
      <c r="Q164" s="15"/>
      <c r="R164" s="1"/>
    </row>
    <row r="165" spans="1:18" ht="18.75">
      <c r="A165" s="17" t="s">
        <v>127</v>
      </c>
      <c r="B165" s="17" t="s">
        <v>128</v>
      </c>
      <c r="C165" s="17">
        <v>870</v>
      </c>
      <c r="D165" s="17">
        <f>+G165*H2</f>
        <v>1.976634605483134E+30</v>
      </c>
      <c r="E165" s="17">
        <f>+D165/E2</f>
        <v>0.9937831098457185</v>
      </c>
      <c r="F165" s="17">
        <f>+H2/(G165*L165)</f>
        <v>7.882123640197398</v>
      </c>
      <c r="G165" s="17">
        <f>+K166*L166*L166</f>
        <v>830518741799.6361</v>
      </c>
      <c r="H165" s="17">
        <f>+G165/A2/B2</f>
        <v>883.5744385367167</v>
      </c>
      <c r="I165" s="18" t="s">
        <v>39</v>
      </c>
      <c r="J165" s="1" t="s">
        <v>95</v>
      </c>
      <c r="K165">
        <f>+L165*B2</f>
        <v>2284363.2282269546</v>
      </c>
      <c r="L165" s="17">
        <f>SQRT(R165)</f>
        <v>363566.84941223497</v>
      </c>
      <c r="M165" s="1" t="s">
        <v>85</v>
      </c>
      <c r="N165" s="1" t="s">
        <v>51</v>
      </c>
      <c r="O165" s="1" t="s">
        <v>50</v>
      </c>
      <c r="P165" s="1" t="s">
        <v>57</v>
      </c>
      <c r="Q165" s="1" t="s">
        <v>43</v>
      </c>
      <c r="R165">
        <f>+G165/B2</f>
        <v>132180853991.53873</v>
      </c>
    </row>
    <row r="166" spans="9:17" ht="18.75">
      <c r="I166" s="18" t="s">
        <v>40</v>
      </c>
      <c r="J166">
        <v>0.0207</v>
      </c>
      <c r="K166">
        <f>+J166*A2*B2</f>
        <v>19457034.0714288</v>
      </c>
      <c r="L166" s="17">
        <f>+K166/M166</f>
        <v>206.60289321513758</v>
      </c>
      <c r="M166">
        <f>+N166*C2</f>
        <v>94176</v>
      </c>
      <c r="N166">
        <v>1.09</v>
      </c>
      <c r="O166">
        <f>+N166/D2</f>
        <v>0.0029842573579739904</v>
      </c>
      <c r="P166">
        <f>+F2*1.12</f>
        <v>2.1268800000000002E+27</v>
      </c>
      <c r="Q166" s="17">
        <f>+P166/H2</f>
        <v>893647058.8235295</v>
      </c>
    </row>
    <row r="167" spans="9:18" ht="18.75">
      <c r="I167" s="18" t="s">
        <v>41</v>
      </c>
      <c r="J167" s="17">
        <f>+K167/A2/B2</f>
        <v>2.4302942910365966</v>
      </c>
      <c r="K167">
        <f>+K165*1000</f>
        <v>2284363228.2269545</v>
      </c>
      <c r="L167" s="17">
        <f>SQRT(R167)</f>
        <v>19.067429019462352</v>
      </c>
      <c r="M167">
        <f>+K167/L167</f>
        <v>119804470.01508582</v>
      </c>
      <c r="N167">
        <f>+M167/C2</f>
        <v>1386.6258103597895</v>
      </c>
      <c r="O167" s="3">
        <f>+N167/D2</f>
        <v>3.7963745663512376</v>
      </c>
      <c r="P167" s="1" t="s">
        <v>43</v>
      </c>
      <c r="Q167" s="1" t="s">
        <v>65</v>
      </c>
      <c r="R167">
        <f>+G165/K167</f>
        <v>363.566849412235</v>
      </c>
    </row>
    <row r="168" spans="1:18" ht="18.75">
      <c r="A168" s="9" t="s">
        <v>10</v>
      </c>
      <c r="B168" s="9" t="s">
        <v>11</v>
      </c>
      <c r="C168" s="9" t="s">
        <v>12</v>
      </c>
      <c r="D168" s="9" t="s">
        <v>13</v>
      </c>
      <c r="E168" s="9" t="s">
        <v>14</v>
      </c>
      <c r="F168" s="9" t="s">
        <v>15</v>
      </c>
      <c r="G168" s="9" t="s">
        <v>16</v>
      </c>
      <c r="H168" s="9" t="s">
        <v>17</v>
      </c>
      <c r="I168" s="14" t="s">
        <v>18</v>
      </c>
      <c r="J168" s="14" t="s">
        <v>19</v>
      </c>
      <c r="K168" s="14" t="s">
        <v>20</v>
      </c>
      <c r="L168" s="14" t="s">
        <v>21</v>
      </c>
      <c r="M168" s="14" t="s">
        <v>22</v>
      </c>
      <c r="N168" s="14" t="s">
        <v>23</v>
      </c>
      <c r="O168" s="14" t="s">
        <v>24</v>
      </c>
      <c r="P168" s="14" t="s">
        <v>25</v>
      </c>
      <c r="Q168" s="14" t="s">
        <v>26</v>
      </c>
      <c r="R168" s="13" t="s">
        <v>27</v>
      </c>
    </row>
    <row r="169" spans="1:18" ht="18.75">
      <c r="A169" s="11"/>
      <c r="B169" s="11"/>
      <c r="C169" s="11" t="s">
        <v>28</v>
      </c>
      <c r="D169" s="12" t="s">
        <v>29</v>
      </c>
      <c r="E169" s="12"/>
      <c r="F169" s="11" t="s">
        <v>30</v>
      </c>
      <c r="G169" s="11" t="s">
        <v>31</v>
      </c>
      <c r="H169" s="11" t="s">
        <v>32</v>
      </c>
      <c r="I169" s="14" t="s">
        <v>33</v>
      </c>
      <c r="J169" s="10" t="s">
        <v>34</v>
      </c>
      <c r="K169" s="14" t="s">
        <v>31</v>
      </c>
      <c r="L169" s="14" t="s">
        <v>35</v>
      </c>
      <c r="M169" s="15"/>
      <c r="N169" s="10" t="s">
        <v>34</v>
      </c>
      <c r="O169" s="15"/>
      <c r="P169" s="10" t="s">
        <v>34</v>
      </c>
      <c r="Q169" s="15"/>
      <c r="R169" s="1"/>
    </row>
    <row r="170" spans="1:18" ht="18.75">
      <c r="A170" s="17" t="s">
        <v>129</v>
      </c>
      <c r="B170" s="17" t="s">
        <v>121</v>
      </c>
      <c r="C170" s="17">
        <v>510</v>
      </c>
      <c r="D170" s="17">
        <f>+G170*H2</f>
        <v>1.990221204342117E+30</v>
      </c>
      <c r="E170" s="17">
        <f>+D170/E2</f>
        <v>1.000613979055866</v>
      </c>
      <c r="F170" s="17">
        <f>+H2/(G170*L170)</f>
        <v>7.801548470485063</v>
      </c>
      <c r="G170" s="17">
        <f>+K171*L171*L171</f>
        <v>836227396782.4021</v>
      </c>
      <c r="H170" s="17">
        <f>+G170/A2/B2</f>
        <v>889.6477772433994</v>
      </c>
      <c r="I170" s="18" t="s">
        <v>39</v>
      </c>
      <c r="J170" s="1" t="s">
        <v>57</v>
      </c>
      <c r="K170">
        <f>+L170*B2</f>
        <v>2292200.6848143092</v>
      </c>
      <c r="L170" s="17">
        <f>SQRT(R170)</f>
        <v>364814.21645249386</v>
      </c>
      <c r="M170" s="1" t="s">
        <v>85</v>
      </c>
      <c r="N170" s="1" t="s">
        <v>51</v>
      </c>
      <c r="O170" s="1" t="s">
        <v>50</v>
      </c>
      <c r="P170" s="1" t="s">
        <v>57</v>
      </c>
      <c r="Q170" s="1" t="s">
        <v>43</v>
      </c>
      <c r="R170">
        <f>+G170/B2</f>
        <v>133089412525.84705</v>
      </c>
    </row>
    <row r="171" spans="9:17" ht="18.75">
      <c r="I171" s="18" t="s">
        <v>40</v>
      </c>
      <c r="J171">
        <v>0.0522</v>
      </c>
      <c r="K171">
        <f>+J171*A2*B2</f>
        <v>49065564.180124804</v>
      </c>
      <c r="L171" s="17">
        <f>+K171/M171</f>
        <v>130.54907455333336</v>
      </c>
      <c r="M171">
        <f>+N171*C2</f>
        <v>375839.99999999994</v>
      </c>
      <c r="N171">
        <v>4.35</v>
      </c>
      <c r="O171">
        <f>+N171/D2</f>
        <v>0.011909650924024639</v>
      </c>
      <c r="P171">
        <f>+F2*0.37</f>
        <v>7.0263E+26</v>
      </c>
      <c r="Q171" s="17">
        <f>+P171/H2</f>
        <v>295222689.0756303</v>
      </c>
    </row>
    <row r="172" spans="9:18" ht="18.75">
      <c r="I172" s="18" t="s">
        <v>41</v>
      </c>
      <c r="J172" s="17">
        <f>+K172/A2/B2</f>
        <v>2.4386324247296693</v>
      </c>
      <c r="K172">
        <f>+K170*1000</f>
        <v>2292200684.814309</v>
      </c>
      <c r="L172" s="17">
        <f>SQRT(R172)</f>
        <v>19.100110378018602</v>
      </c>
      <c r="M172">
        <f>+K172/L172</f>
        <v>120009813.52716646</v>
      </c>
      <c r="N172">
        <f>+M172/C2</f>
        <v>1389.0024713792413</v>
      </c>
      <c r="O172" s="3">
        <f>+N172/D2</f>
        <v>3.8028815095940898</v>
      </c>
      <c r="P172" s="1" t="s">
        <v>130</v>
      </c>
      <c r="Q172" s="1" t="s">
        <v>86</v>
      </c>
      <c r="R172">
        <f>+G170/K172</f>
        <v>364.8142164524939</v>
      </c>
    </row>
    <row r="173" spans="1:18" ht="18.75">
      <c r="A173" s="9" t="s">
        <v>10</v>
      </c>
      <c r="B173" s="9" t="s">
        <v>11</v>
      </c>
      <c r="C173" s="9" t="s">
        <v>12</v>
      </c>
      <c r="D173" s="9" t="s">
        <v>13</v>
      </c>
      <c r="E173" s="9" t="s">
        <v>14</v>
      </c>
      <c r="F173" s="9" t="s">
        <v>15</v>
      </c>
      <c r="G173" s="9" t="s">
        <v>16</v>
      </c>
      <c r="H173" s="9" t="s">
        <v>17</v>
      </c>
      <c r="I173" s="14" t="s">
        <v>18</v>
      </c>
      <c r="J173" s="14" t="s">
        <v>19</v>
      </c>
      <c r="K173" s="14" t="s">
        <v>20</v>
      </c>
      <c r="L173" s="14" t="s">
        <v>21</v>
      </c>
      <c r="M173" s="14" t="s">
        <v>22</v>
      </c>
      <c r="N173" s="14" t="s">
        <v>23</v>
      </c>
      <c r="O173" s="14" t="s">
        <v>24</v>
      </c>
      <c r="P173" s="14" t="s">
        <v>25</v>
      </c>
      <c r="Q173" s="14" t="s">
        <v>26</v>
      </c>
      <c r="R173" s="13" t="s">
        <v>27</v>
      </c>
    </row>
    <row r="174" spans="1:18" ht="18.75">
      <c r="A174" s="11"/>
      <c r="B174" s="11"/>
      <c r="C174" s="11" t="s">
        <v>28</v>
      </c>
      <c r="D174" s="12" t="s">
        <v>29</v>
      </c>
      <c r="E174" s="12"/>
      <c r="F174" s="11" t="s">
        <v>30</v>
      </c>
      <c r="G174" s="11" t="s">
        <v>31</v>
      </c>
      <c r="H174" s="11" t="s">
        <v>32</v>
      </c>
      <c r="I174" s="14" t="s">
        <v>33</v>
      </c>
      <c r="J174" s="10" t="s">
        <v>34</v>
      </c>
      <c r="K174" s="14" t="s">
        <v>31</v>
      </c>
      <c r="L174" s="14" t="s">
        <v>35</v>
      </c>
      <c r="M174" s="15"/>
      <c r="N174" s="10" t="s">
        <v>34</v>
      </c>
      <c r="O174" s="15"/>
      <c r="P174" s="10" t="s">
        <v>34</v>
      </c>
      <c r="Q174" s="15"/>
      <c r="R174" s="1"/>
    </row>
    <row r="175" spans="1:18" ht="18.75">
      <c r="A175" s="17" t="s">
        <v>131</v>
      </c>
      <c r="B175" s="17" t="s">
        <v>132</v>
      </c>
      <c r="C175" s="17">
        <v>570</v>
      </c>
      <c r="D175" s="17">
        <f>+G175*H2</f>
        <v>1.9838404371686558E+30</v>
      </c>
      <c r="E175" s="17">
        <f>+D175/E2</f>
        <v>0.9974059513165691</v>
      </c>
      <c r="F175" s="17">
        <f>+H2/(G175*L175)</f>
        <v>7.839217732826819</v>
      </c>
      <c r="G175" s="17">
        <f>+K176*L176*L176</f>
        <v>833546402171.7041</v>
      </c>
      <c r="H175" s="17">
        <f>+G175/A2/B2</f>
        <v>886.7955137258605</v>
      </c>
      <c r="I175" s="18" t="s">
        <v>39</v>
      </c>
      <c r="J175" s="1" t="s">
        <v>66</v>
      </c>
      <c r="K175">
        <f>+L175*B2</f>
        <v>2288523.2692994955</v>
      </c>
      <c r="L175" s="17">
        <f>SQRT(R175)</f>
        <v>364228.93896414177</v>
      </c>
      <c r="M175" s="1" t="s">
        <v>85</v>
      </c>
      <c r="N175" s="1" t="s">
        <v>51</v>
      </c>
      <c r="O175" s="1" t="s">
        <v>50</v>
      </c>
      <c r="P175" s="1" t="s">
        <v>57</v>
      </c>
      <c r="Q175" s="1" t="s">
        <v>43</v>
      </c>
      <c r="R175">
        <f>+G175/B2</f>
        <v>132662719978.9445</v>
      </c>
    </row>
    <row r="176" spans="9:17" ht="18.75">
      <c r="I176" s="18" t="s">
        <v>40</v>
      </c>
      <c r="J176">
        <v>0.0335</v>
      </c>
      <c r="K176">
        <f>+J176*A2*B2</f>
        <v>31488436.782264</v>
      </c>
      <c r="L176" s="17">
        <f>+K176/M176</f>
        <v>162.70066955121527</v>
      </c>
      <c r="M176">
        <f>+N176*C2</f>
        <v>193536.00000000003</v>
      </c>
      <c r="N176">
        <v>2.24</v>
      </c>
      <c r="O176">
        <f>+N176/D2</f>
        <v>0.006132785763175908</v>
      </c>
      <c r="P176">
        <f>+F2*7.71</f>
        <v>1.464129E+28</v>
      </c>
      <c r="Q176" s="17">
        <f>+P176/H2</f>
        <v>6151802521.008403</v>
      </c>
    </row>
    <row r="177" spans="9:18" ht="18.75">
      <c r="I177" s="18" t="s">
        <v>41</v>
      </c>
      <c r="J177" s="17">
        <f>+K177/A2/B2</f>
        <v>2.434720086349771</v>
      </c>
      <c r="K177">
        <f>+K175*1000</f>
        <v>2288523269.2994957</v>
      </c>
      <c r="L177" s="17">
        <f>SQRT(R177)</f>
        <v>19.084782916348345</v>
      </c>
      <c r="M177">
        <f>+K177/L177</f>
        <v>119913508.01999997</v>
      </c>
      <c r="N177">
        <f>+M177/C2</f>
        <v>1387.8878243055551</v>
      </c>
      <c r="O177" s="3">
        <f>+N177/D2</f>
        <v>3.7998297722260235</v>
      </c>
      <c r="P177" s="1" t="s">
        <v>62</v>
      </c>
      <c r="Q177" s="1" t="s">
        <v>57</v>
      </c>
      <c r="R177">
        <f>+G175/K177</f>
        <v>364.2289389641417</v>
      </c>
    </row>
    <row r="178" spans="1:18" ht="18.75">
      <c r="A178" s="9" t="s">
        <v>10</v>
      </c>
      <c r="B178" s="9" t="s">
        <v>11</v>
      </c>
      <c r="C178" s="9" t="s">
        <v>12</v>
      </c>
      <c r="D178" s="9" t="s">
        <v>13</v>
      </c>
      <c r="E178" s="9" t="s">
        <v>14</v>
      </c>
      <c r="F178" s="9" t="s">
        <v>15</v>
      </c>
      <c r="G178" s="9" t="s">
        <v>16</v>
      </c>
      <c r="H178" s="9" t="s">
        <v>17</v>
      </c>
      <c r="I178" s="14" t="s">
        <v>18</v>
      </c>
      <c r="J178" s="14" t="s">
        <v>19</v>
      </c>
      <c r="K178" s="14" t="s">
        <v>20</v>
      </c>
      <c r="L178" s="14" t="s">
        <v>21</v>
      </c>
      <c r="M178" s="14" t="s">
        <v>22</v>
      </c>
      <c r="N178" s="14" t="s">
        <v>23</v>
      </c>
      <c r="O178" s="14" t="s">
        <v>24</v>
      </c>
      <c r="P178" s="14" t="s">
        <v>25</v>
      </c>
      <c r="Q178" s="14" t="s">
        <v>26</v>
      </c>
      <c r="R178" s="13" t="s">
        <v>27</v>
      </c>
    </row>
    <row r="179" spans="1:18" ht="18.75">
      <c r="A179" s="11"/>
      <c r="B179" s="11"/>
      <c r="C179" s="11" t="s">
        <v>28</v>
      </c>
      <c r="D179" s="12" t="s">
        <v>29</v>
      </c>
      <c r="E179" s="12"/>
      <c r="F179" s="11" t="s">
        <v>30</v>
      </c>
      <c r="G179" s="11" t="s">
        <v>31</v>
      </c>
      <c r="H179" s="11" t="s">
        <v>32</v>
      </c>
      <c r="I179" s="14" t="s">
        <v>33</v>
      </c>
      <c r="J179" s="10" t="s">
        <v>34</v>
      </c>
      <c r="K179" s="14" t="s">
        <v>31</v>
      </c>
      <c r="L179" s="14" t="s">
        <v>35</v>
      </c>
      <c r="M179" s="15"/>
      <c r="N179" s="10" t="s">
        <v>34</v>
      </c>
      <c r="O179" s="15"/>
      <c r="P179" s="10" t="s">
        <v>34</v>
      </c>
      <c r="Q179" s="15"/>
      <c r="R179" s="1"/>
    </row>
    <row r="180" spans="1:18" ht="18.75">
      <c r="A180" s="17" t="s">
        <v>133</v>
      </c>
      <c r="B180" s="17" t="s">
        <v>121</v>
      </c>
      <c r="C180" s="17">
        <v>1000</v>
      </c>
      <c r="D180" s="17">
        <f>+G180*H2</f>
        <v>1.979847841180727E+30</v>
      </c>
      <c r="E180" s="17">
        <f>+D180/E2</f>
        <v>0.9953986129616527</v>
      </c>
      <c r="F180" s="17">
        <f>+H2/(G180*L180)</f>
        <v>7.862942740446218</v>
      </c>
      <c r="G180" s="17">
        <f>+K181*L181*L181</f>
        <v>831868840832.2383</v>
      </c>
      <c r="H180" s="17">
        <f>+G180/A2/B2</f>
        <v>885.0107854060426</v>
      </c>
      <c r="I180" s="18" t="s">
        <v>39</v>
      </c>
      <c r="J180" s="1" t="s">
        <v>42</v>
      </c>
      <c r="K180">
        <f>+L180*B2</f>
        <v>2286219.2153678355</v>
      </c>
      <c r="L180" s="17">
        <f>SQRT(R180)</f>
        <v>363862.2382492735</v>
      </c>
      <c r="M180" s="1" t="s">
        <v>85</v>
      </c>
      <c r="N180" s="1" t="s">
        <v>51</v>
      </c>
      <c r="O180" s="1" t="s">
        <v>50</v>
      </c>
      <c r="P180" s="1" t="s">
        <v>57</v>
      </c>
      <c r="Q180" s="1" t="s">
        <v>43</v>
      </c>
      <c r="R180">
        <f>+G180/B2</f>
        <v>132395728423.77106</v>
      </c>
    </row>
    <row r="181" spans="9:17" ht="18.75">
      <c r="I181" s="18" t="s">
        <v>40</v>
      </c>
      <c r="J181">
        <v>0.0472</v>
      </c>
      <c r="K181">
        <f>+J181*A2*B2</f>
        <v>44365797.4962048</v>
      </c>
      <c r="L181" s="17">
        <f>+K181/M181</f>
        <v>136.93147375371854</v>
      </c>
      <c r="M181">
        <f>+N181*C2</f>
        <v>324000</v>
      </c>
      <c r="N181">
        <v>3.75</v>
      </c>
      <c r="O181">
        <f>+N181/D2</f>
        <v>0.01026694045174538</v>
      </c>
      <c r="P181">
        <f>+F2*0.53</f>
        <v>1.00647E+27</v>
      </c>
      <c r="Q181" s="17">
        <f>+P181/H2</f>
        <v>422886554.62184876</v>
      </c>
    </row>
    <row r="182" spans="9:18" ht="18.75">
      <c r="I182" s="18" t="s">
        <v>41</v>
      </c>
      <c r="J182" s="17">
        <f>+K182/A2/B2</f>
        <v>2.432268843461966</v>
      </c>
      <c r="K182">
        <f>+K180*1000</f>
        <v>2286219215.3678355</v>
      </c>
      <c r="L182" s="17">
        <f>SQRT(R182)</f>
        <v>19.07517334781714</v>
      </c>
      <c r="M182">
        <f>+K182/L182</f>
        <v>119853129.1790047</v>
      </c>
      <c r="N182">
        <f>+M182/C2</f>
        <v>1387.1889951273693</v>
      </c>
      <c r="O182" s="3">
        <f>+N182/D2</f>
        <v>3.7979164822104567</v>
      </c>
      <c r="P182" s="1" t="s">
        <v>44</v>
      </c>
      <c r="Q182" s="1" t="s">
        <v>57</v>
      </c>
      <c r="R182">
        <f>+G180/K182</f>
        <v>363.8622382492734</v>
      </c>
    </row>
    <row r="183" spans="1:18" ht="18.75">
      <c r="A183" s="9" t="s">
        <v>10</v>
      </c>
      <c r="B183" s="9" t="s">
        <v>11</v>
      </c>
      <c r="C183" s="9" t="s">
        <v>12</v>
      </c>
      <c r="D183" s="9" t="s">
        <v>13</v>
      </c>
      <c r="E183" s="9" t="s">
        <v>14</v>
      </c>
      <c r="F183" s="9" t="s">
        <v>15</v>
      </c>
      <c r="G183" s="9" t="s">
        <v>16</v>
      </c>
      <c r="H183" s="9" t="s">
        <v>17</v>
      </c>
      <c r="I183" s="14" t="s">
        <v>18</v>
      </c>
      <c r="J183" s="14" t="s">
        <v>19</v>
      </c>
      <c r="K183" s="14" t="s">
        <v>20</v>
      </c>
      <c r="L183" s="14" t="s">
        <v>21</v>
      </c>
      <c r="M183" s="14" t="s">
        <v>22</v>
      </c>
      <c r="N183" s="14" t="s">
        <v>23</v>
      </c>
      <c r="O183" s="14" t="s">
        <v>24</v>
      </c>
      <c r="P183" s="14" t="s">
        <v>25</v>
      </c>
      <c r="Q183" s="14" t="s">
        <v>26</v>
      </c>
      <c r="R183" s="13" t="s">
        <v>27</v>
      </c>
    </row>
    <row r="184" spans="1:18" ht="18.75">
      <c r="A184" s="11"/>
      <c r="B184" s="11"/>
      <c r="C184" s="11" t="s">
        <v>28</v>
      </c>
      <c r="D184" s="12" t="s">
        <v>29</v>
      </c>
      <c r="E184" s="12"/>
      <c r="F184" s="11" t="s">
        <v>30</v>
      </c>
      <c r="G184" s="11" t="s">
        <v>31</v>
      </c>
      <c r="H184" s="11" t="s">
        <v>32</v>
      </c>
      <c r="I184" s="14" t="s">
        <v>33</v>
      </c>
      <c r="J184" s="10" t="s">
        <v>34</v>
      </c>
      <c r="K184" s="14" t="s">
        <v>31</v>
      </c>
      <c r="L184" s="14" t="s">
        <v>35</v>
      </c>
      <c r="M184" s="15"/>
      <c r="N184" s="10" t="s">
        <v>34</v>
      </c>
      <c r="O184" s="15"/>
      <c r="P184" s="10" t="s">
        <v>34</v>
      </c>
      <c r="Q184" s="15"/>
      <c r="R184" s="1"/>
    </row>
    <row r="185" spans="1:18" ht="18.75">
      <c r="A185" s="17" t="s">
        <v>134</v>
      </c>
      <c r="B185" s="17" t="s">
        <v>135</v>
      </c>
      <c r="C185" s="17">
        <v>4900</v>
      </c>
      <c r="D185" s="17">
        <f>+G185*H2</f>
        <v>9.672219068011329E+29</v>
      </c>
      <c r="E185" s="17">
        <f>+D185/E2</f>
        <v>0.48628552378136397</v>
      </c>
      <c r="F185" s="17">
        <f>+H2/(G185*L185)</f>
        <v>23.027333352625224</v>
      </c>
      <c r="G185" s="17">
        <f>+K186*L186*L186</f>
        <v>406395759160.13983</v>
      </c>
      <c r="H185" s="17">
        <f>+G185/A2/B2</f>
        <v>432.357376963628</v>
      </c>
      <c r="I185" s="18" t="s">
        <v>39</v>
      </c>
      <c r="J185" s="1" t="s">
        <v>57</v>
      </c>
      <c r="K185">
        <f>+L185*B2</f>
        <v>1597956.7684874928</v>
      </c>
      <c r="L185" s="17">
        <f>SQRT(R185)</f>
        <v>254322.12383618107</v>
      </c>
      <c r="M185" s="1" t="s">
        <v>85</v>
      </c>
      <c r="N185" s="1" t="s">
        <v>51</v>
      </c>
      <c r="O185" s="1" t="s">
        <v>50</v>
      </c>
      <c r="P185" s="1" t="s">
        <v>57</v>
      </c>
      <c r="Q185" s="1" t="s">
        <v>43</v>
      </c>
      <c r="R185">
        <f>+G185/B2</f>
        <v>64679742672.545815</v>
      </c>
    </row>
    <row r="186" spans="7:17" ht="18.75">
      <c r="G186">
        <f>+K186*L186*L186</f>
        <v>406395759160.13983</v>
      </c>
      <c r="I186" s="18" t="s">
        <v>40</v>
      </c>
      <c r="J186">
        <v>2.3</v>
      </c>
      <c r="K186">
        <f>+J186*A2*B2</f>
        <v>2161892674.6032</v>
      </c>
      <c r="L186" s="17">
        <f>+K186/M186</f>
        <v>13.710633400578386</v>
      </c>
      <c r="M186">
        <f>+N186*C2</f>
        <v>157680000</v>
      </c>
      <c r="N186">
        <v>1825</v>
      </c>
      <c r="O186">
        <f>+N186/D2</f>
        <v>4.996577686516085</v>
      </c>
      <c r="P186">
        <f>+F2*0.53</f>
        <v>1.00647E+27</v>
      </c>
      <c r="Q186" s="17">
        <f>+P186/H2</f>
        <v>422886554.62184876</v>
      </c>
    </row>
    <row r="187" spans="7:17" ht="18.75">
      <c r="G187">
        <f>+K187*L187*L187</f>
        <v>406378762881.81</v>
      </c>
      <c r="I187" s="18" t="s">
        <v>69</v>
      </c>
      <c r="J187">
        <v>4.5631</v>
      </c>
      <c r="K187">
        <f>+J187*A2*B2</f>
        <v>4289101071.0790706</v>
      </c>
      <c r="L187" s="17">
        <f>+K187/M187</f>
        <v>9.733798727031298</v>
      </c>
      <c r="M187">
        <f>+N187*C2</f>
        <v>440640000</v>
      </c>
      <c r="N187">
        <v>5100</v>
      </c>
      <c r="O187">
        <f>+N187/D2</f>
        <v>13.963039014373717</v>
      </c>
      <c r="P187">
        <f>+F2*1.71</f>
        <v>3.24729E+27</v>
      </c>
      <c r="Q187" s="17">
        <f>+P187/H2</f>
        <v>1364407563.02521</v>
      </c>
    </row>
    <row r="188" spans="9:18" ht="18.75">
      <c r="I188" s="18" t="s">
        <v>41</v>
      </c>
      <c r="J188" s="17">
        <f>+K188/A2/B2</f>
        <v>1.7000384018581352</v>
      </c>
      <c r="K188">
        <f>+K185*1000</f>
        <v>1597956768.4874928</v>
      </c>
      <c r="L188" s="17">
        <f>SQRT(R188)</f>
        <v>15.947480171995231</v>
      </c>
      <c r="M188">
        <f>+K188/L188</f>
        <v>100201207.41668044</v>
      </c>
      <c r="N188">
        <f>+M188/C2</f>
        <v>1159.73619695232</v>
      </c>
      <c r="O188" s="3">
        <f>+N188/D2</f>
        <v>3.1751846596914985</v>
      </c>
      <c r="P188" s="1" t="s">
        <v>57</v>
      </c>
      <c r="Q188" s="1" t="s">
        <v>65</v>
      </c>
      <c r="R188">
        <f>+G185/K188</f>
        <v>254.32212383618105</v>
      </c>
    </row>
    <row r="189" spans="1:18" ht="18.75">
      <c r="A189" s="9" t="s">
        <v>10</v>
      </c>
      <c r="B189" s="9" t="s">
        <v>11</v>
      </c>
      <c r="C189" s="9" t="s">
        <v>12</v>
      </c>
      <c r="D189" s="9" t="s">
        <v>13</v>
      </c>
      <c r="E189" s="9" t="s">
        <v>14</v>
      </c>
      <c r="F189" s="9" t="s">
        <v>15</v>
      </c>
      <c r="G189" s="9" t="s">
        <v>16</v>
      </c>
      <c r="H189" s="9" t="s">
        <v>17</v>
      </c>
      <c r="I189" s="14" t="s">
        <v>18</v>
      </c>
      <c r="J189" s="14" t="s">
        <v>19</v>
      </c>
      <c r="K189" s="14" t="s">
        <v>20</v>
      </c>
      <c r="L189" s="14" t="s">
        <v>21</v>
      </c>
      <c r="M189" s="14" t="s">
        <v>22</v>
      </c>
      <c r="N189" s="14" t="s">
        <v>23</v>
      </c>
      <c r="O189" s="14" t="s">
        <v>24</v>
      </c>
      <c r="P189" s="14" t="s">
        <v>25</v>
      </c>
      <c r="Q189" s="14" t="s">
        <v>26</v>
      </c>
      <c r="R189" s="13" t="s">
        <v>27</v>
      </c>
    </row>
    <row r="190" spans="1:18" ht="18.75">
      <c r="A190" s="11"/>
      <c r="B190" s="11"/>
      <c r="C190" s="11" t="s">
        <v>28</v>
      </c>
      <c r="D190" s="12" t="s">
        <v>29</v>
      </c>
      <c r="E190" s="12"/>
      <c r="F190" s="11" t="s">
        <v>30</v>
      </c>
      <c r="G190" s="11" t="s">
        <v>31</v>
      </c>
      <c r="H190" s="11" t="s">
        <v>32</v>
      </c>
      <c r="I190" s="14" t="s">
        <v>33</v>
      </c>
      <c r="J190" s="10" t="s">
        <v>34</v>
      </c>
      <c r="K190" s="14" t="s">
        <v>31</v>
      </c>
      <c r="L190" s="14" t="s">
        <v>35</v>
      </c>
      <c r="M190" s="15"/>
      <c r="N190" s="10" t="s">
        <v>34</v>
      </c>
      <c r="O190" s="15"/>
      <c r="P190" s="10" t="s">
        <v>34</v>
      </c>
      <c r="Q190" s="15"/>
      <c r="R190" s="1"/>
    </row>
    <row r="191" spans="1:18" ht="18.75">
      <c r="A191" s="17" t="s">
        <v>136</v>
      </c>
      <c r="B191" s="17" t="s">
        <v>137</v>
      </c>
      <c r="C191" s="17">
        <v>1044</v>
      </c>
      <c r="D191" s="17">
        <f>+G191*H2</f>
        <v>8.995982601647919E+29</v>
      </c>
      <c r="E191" s="17">
        <f>+D191/E2</f>
        <v>0.45228670697073503</v>
      </c>
      <c r="F191" s="17">
        <f>+H2/(G191*L191)</f>
        <v>25.672013020447974</v>
      </c>
      <c r="G191" s="17">
        <f>+K192*L192*L192</f>
        <v>377982462254.11426</v>
      </c>
      <c r="H191" s="17">
        <f>+G191/A2/B2</f>
        <v>402.1289647711247</v>
      </c>
      <c r="I191" s="18" t="s">
        <v>39</v>
      </c>
      <c r="J191" s="1" t="s">
        <v>138</v>
      </c>
      <c r="K191">
        <f>+L191*B2</f>
        <v>1541083.841598195</v>
      </c>
      <c r="L191" s="17">
        <f>SQRT(R191)</f>
        <v>245270.53756019147</v>
      </c>
      <c r="M191" s="1" t="s">
        <v>85</v>
      </c>
      <c r="N191" s="1" t="s">
        <v>51</v>
      </c>
      <c r="O191" s="1" t="s">
        <v>50</v>
      </c>
      <c r="P191" s="1" t="s">
        <v>57</v>
      </c>
      <c r="Q191" s="1" t="s">
        <v>43</v>
      </c>
      <c r="R191">
        <f>+G191/B2</f>
        <v>60157636595.06529</v>
      </c>
    </row>
    <row r="192" spans="9:17" ht="18.75">
      <c r="I192" s="18" t="s">
        <v>40</v>
      </c>
      <c r="J192">
        <v>2.2047299</v>
      </c>
      <c r="K192">
        <f>+J192*A2*B2</f>
        <v>2072343226.2124543</v>
      </c>
      <c r="L192" s="17">
        <f>+K192/M192</f>
        <v>13.505323202189523</v>
      </c>
      <c r="M192">
        <f>+N192*C2</f>
        <v>153446400</v>
      </c>
      <c r="N192">
        <v>1776</v>
      </c>
      <c r="O192">
        <f>+N192/D2</f>
        <v>4.862422997946612</v>
      </c>
      <c r="P192">
        <f>+F2*0.472</f>
        <v>8.96328E+26</v>
      </c>
      <c r="Q192" s="17">
        <f>+P192/H2</f>
        <v>376608403.3613446</v>
      </c>
    </row>
    <row r="193" spans="9:18" ht="18.75">
      <c r="I193" s="18" t="s">
        <v>41</v>
      </c>
      <c r="J193" s="17">
        <f>+K193/A2/B2</f>
        <v>1.6395322845184324</v>
      </c>
      <c r="K193">
        <f>+K191*1000</f>
        <v>1541083841.598195</v>
      </c>
      <c r="L193" s="17">
        <f>SQRT(R193)</f>
        <v>15.66111546347167</v>
      </c>
      <c r="M193">
        <f>+K193/L193</f>
        <v>98401920.6800852</v>
      </c>
      <c r="N193">
        <f>+M193/C2</f>
        <v>1138.9111189824675</v>
      </c>
      <c r="O193" s="3">
        <f>+N193/D2</f>
        <v>3.1181687035796513</v>
      </c>
      <c r="P193" s="1" t="s">
        <v>95</v>
      </c>
      <c r="Q193" s="1" t="s">
        <v>138</v>
      </c>
      <c r="R193">
        <f>+G191/K193</f>
        <v>245.27053756019146</v>
      </c>
    </row>
    <row r="194" spans="1:18" ht="18.75">
      <c r="A194" s="9" t="s">
        <v>10</v>
      </c>
      <c r="B194" s="9" t="s">
        <v>11</v>
      </c>
      <c r="C194" s="9" t="s">
        <v>12</v>
      </c>
      <c r="D194" s="9" t="s">
        <v>13</v>
      </c>
      <c r="E194" s="9" t="s">
        <v>14</v>
      </c>
      <c r="F194" s="9" t="s">
        <v>15</v>
      </c>
      <c r="G194" s="9" t="s">
        <v>16</v>
      </c>
      <c r="H194" s="9" t="s">
        <v>17</v>
      </c>
      <c r="I194" s="14" t="s">
        <v>18</v>
      </c>
      <c r="J194" s="14" t="s">
        <v>19</v>
      </c>
      <c r="K194" s="14" t="s">
        <v>20</v>
      </c>
      <c r="L194" s="14" t="s">
        <v>21</v>
      </c>
      <c r="M194" s="14" t="s">
        <v>22</v>
      </c>
      <c r="N194" s="14" t="s">
        <v>23</v>
      </c>
      <c r="O194" s="14" t="s">
        <v>24</v>
      </c>
      <c r="P194" s="14" t="s">
        <v>25</v>
      </c>
      <c r="Q194" s="14" t="s">
        <v>26</v>
      </c>
      <c r="R194" s="13" t="s">
        <v>27</v>
      </c>
    </row>
    <row r="195" spans="1:18" ht="18.75">
      <c r="A195" s="11"/>
      <c r="B195" s="11"/>
      <c r="C195" s="11" t="s">
        <v>28</v>
      </c>
      <c r="D195" s="12" t="s">
        <v>29</v>
      </c>
      <c r="E195" s="12"/>
      <c r="F195" s="11" t="s">
        <v>30</v>
      </c>
      <c r="G195" s="11" t="s">
        <v>31</v>
      </c>
      <c r="H195" s="11" t="s">
        <v>32</v>
      </c>
      <c r="I195" s="14" t="s">
        <v>33</v>
      </c>
      <c r="J195" s="10" t="s">
        <v>34</v>
      </c>
      <c r="K195" s="14" t="s">
        <v>31</v>
      </c>
      <c r="L195" s="14" t="s">
        <v>35</v>
      </c>
      <c r="M195" s="15"/>
      <c r="N195" s="10" t="s">
        <v>34</v>
      </c>
      <c r="O195" s="15"/>
      <c r="P195" s="10" t="s">
        <v>34</v>
      </c>
      <c r="Q195" s="15"/>
      <c r="R195" s="1"/>
    </row>
    <row r="196" spans="1:18" ht="18.75">
      <c r="A196" s="17" t="s">
        <v>139</v>
      </c>
      <c r="B196" s="17" t="s">
        <v>140</v>
      </c>
      <c r="C196" s="17">
        <v>457</v>
      </c>
      <c r="D196" s="17">
        <f>+G196*H2</f>
        <v>1.8491205846227103E+30</v>
      </c>
      <c r="E196" s="17">
        <f>+D196/E2</f>
        <v>0.929673496542338</v>
      </c>
      <c r="F196" s="17">
        <f>+H2/(G196*L196)</f>
        <v>8.711340407975532</v>
      </c>
      <c r="G196" s="17">
        <f>+K197*L197*L197</f>
        <v>776941422110.3824</v>
      </c>
      <c r="H196" s="17">
        <f>+G196/A2/B2</f>
        <v>826.5744603542192</v>
      </c>
      <c r="I196" s="18" t="s">
        <v>39</v>
      </c>
      <c r="J196" s="1" t="s">
        <v>66</v>
      </c>
      <c r="K196">
        <f>+L196*B2</f>
        <v>2209452.0459616124</v>
      </c>
      <c r="L196" s="17">
        <f>SQRT(R196)</f>
        <v>351644.3923417387</v>
      </c>
      <c r="M196" s="1" t="s">
        <v>85</v>
      </c>
      <c r="N196" s="1" t="s">
        <v>51</v>
      </c>
      <c r="O196" s="1" t="s">
        <v>50</v>
      </c>
      <c r="P196" s="1" t="s">
        <v>57</v>
      </c>
      <c r="Q196" s="1" t="s">
        <v>43</v>
      </c>
      <c r="R196">
        <f>+G196/B2</f>
        <v>123653778665.39064</v>
      </c>
    </row>
    <row r="197" spans="7:17" ht="18.75">
      <c r="G197">
        <f>+K197*L197*L197</f>
        <v>776941422110.3824</v>
      </c>
      <c r="I197" s="18" t="s">
        <v>40</v>
      </c>
      <c r="J197">
        <v>0.0172</v>
      </c>
      <c r="K197">
        <f>+J197*A2*B2</f>
        <v>16167197.3926848</v>
      </c>
      <c r="L197" s="17">
        <f>+K197/M197</f>
        <v>219.21828087948535</v>
      </c>
      <c r="M197">
        <f>+N197*C2</f>
        <v>73749.312</v>
      </c>
      <c r="N197">
        <v>0.85358</v>
      </c>
      <c r="O197">
        <f>+N197/D2</f>
        <v>0.002336974674880219</v>
      </c>
      <c r="P197">
        <f>+F2*0.0151</f>
        <v>2.8674900000000003E+25</v>
      </c>
      <c r="Q197" s="17">
        <f>+P197/H2</f>
        <v>12048277.310924372</v>
      </c>
    </row>
    <row r="198" spans="7:17" ht="18.75">
      <c r="G198">
        <f>+K198*L198*L198</f>
        <v>776946736989.478</v>
      </c>
      <c r="I198" s="18" t="s">
        <v>69</v>
      </c>
      <c r="J198">
        <v>0.04571</v>
      </c>
      <c r="K198">
        <f>+J198*A2*B2</f>
        <v>42965267.024396636</v>
      </c>
      <c r="L198" s="17">
        <f>+K198/M198</f>
        <v>134.4735487162625</v>
      </c>
      <c r="M198">
        <f>+N198*C2</f>
        <v>319507.2</v>
      </c>
      <c r="N198">
        <v>3.698</v>
      </c>
      <c r="O198">
        <f>+N198/D2</f>
        <v>0.01012457221081451</v>
      </c>
      <c r="P198">
        <f>+F2*0.0264</f>
        <v>5.01336E+25</v>
      </c>
      <c r="Q198" s="17">
        <f>+P198/H2</f>
        <v>21064537.81512605</v>
      </c>
    </row>
    <row r="199" spans="9:18" ht="18.75">
      <c r="I199" s="18" t="s">
        <v>41</v>
      </c>
      <c r="J199" s="17">
        <f>+K199/A2/B2</f>
        <v>2.3505975876644407</v>
      </c>
      <c r="K199">
        <f>+K196*1000</f>
        <v>2209452045.961612</v>
      </c>
      <c r="L199" s="17">
        <f>SQRT(R199)</f>
        <v>18.752183668622134</v>
      </c>
      <c r="M199">
        <f>+K199/L199</f>
        <v>117823720.42668658</v>
      </c>
      <c r="N199">
        <f>+M199/C2</f>
        <v>1363.7004679014651</v>
      </c>
      <c r="O199" s="3">
        <f>+N199/D2</f>
        <v>3.733608399456441</v>
      </c>
      <c r="P199" s="1" t="s">
        <v>141</v>
      </c>
      <c r="Q199" s="1" t="s">
        <v>141</v>
      </c>
      <c r="R199">
        <f>+G196/K199</f>
        <v>351.6443923417387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</dc:creator>
  <cp:keywords/>
  <dc:description/>
  <cp:lastModifiedBy>VICENTE</cp:lastModifiedBy>
  <dcterms:created xsi:type="dcterms:W3CDTF">2010-12-21T15:24:58Z</dcterms:created>
  <dcterms:modified xsi:type="dcterms:W3CDTF">2010-12-31T10:47:28Z</dcterms:modified>
  <cp:category/>
  <cp:version/>
  <cp:contentType/>
  <cp:contentStatus/>
</cp:coreProperties>
</file>