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73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<sst xmlns="http://schemas.openxmlformats.org/spreadsheetml/2006/main" count="2158" uniqueCount="164">
  <si>
    <t>1 UA</t>
  </si>
  <si>
    <r>
      <t xml:space="preserve">  2</t>
    </r>
    <r>
      <rPr>
        <sz val="11"/>
        <color indexed="8"/>
        <rFont val="Calibri"/>
        <family val="2"/>
      </rPr>
      <t>π</t>
    </r>
  </si>
  <si>
    <t>SGS DÍA</t>
  </si>
  <si>
    <t xml:space="preserve">  DÍAS AÑO</t>
  </si>
  <si>
    <t>MASA  DEL SOL</t>
  </si>
  <si>
    <t>MASA DE JÚPITER</t>
  </si>
  <si>
    <t>MASA TIERRA</t>
  </si>
  <si>
    <t>MASA INICIAL</t>
  </si>
  <si>
    <t>CÁLCULO DE DATOS POR EL EJE DE SIMETRÍA (ES)</t>
  </si>
  <si>
    <t xml:space="preserve">     TABLA DE DATOS DE SISTEMAS PLANETARIOS  PLANETAS Y EXOPLANETAS </t>
  </si>
  <si>
    <t>ESTRELLA</t>
  </si>
  <si>
    <t>CONSTELACIÓN</t>
  </si>
  <si>
    <t>DISTANCIA</t>
  </si>
  <si>
    <t xml:space="preserve">   MASA</t>
  </si>
  <si>
    <t>SOLES</t>
  </si>
  <si>
    <t>M/kg/km/sg</t>
  </si>
  <si>
    <t xml:space="preserve">  EJE (ES)</t>
  </si>
  <si>
    <t>LÍMITE (UA)</t>
  </si>
  <si>
    <t>SISTEMA</t>
  </si>
  <si>
    <t>Sem. Mayor (UA)</t>
  </si>
  <si>
    <t xml:space="preserve">       LO</t>
  </si>
  <si>
    <t xml:space="preserve">      Vo</t>
  </si>
  <si>
    <t xml:space="preserve">    sgs</t>
  </si>
  <si>
    <t>DÍAS</t>
  </si>
  <si>
    <t>AÑOS</t>
  </si>
  <si>
    <t>MASA</t>
  </si>
  <si>
    <t>Eje (es)</t>
  </si>
  <si>
    <t>ES/Lo</t>
  </si>
  <si>
    <t>Años/luz</t>
  </si>
  <si>
    <t xml:space="preserve">   kgs</t>
  </si>
  <si>
    <t>acumulación</t>
  </si>
  <si>
    <t xml:space="preserve">    kms</t>
  </si>
  <si>
    <t>a Vo 1 km/sg</t>
  </si>
  <si>
    <t>PLANETARIO</t>
  </si>
  <si>
    <t>Publicado</t>
  </si>
  <si>
    <t xml:space="preserve"> kms/sg</t>
  </si>
  <si>
    <t>TABLA-5</t>
  </si>
  <si>
    <t>151.-LOTA DRACONIS</t>
  </si>
  <si>
    <t>DRACO</t>
  </si>
  <si>
    <t>cm</t>
  </si>
  <si>
    <t>b</t>
  </si>
  <si>
    <t>CP</t>
  </si>
  <si>
    <t xml:space="preserve">      ---------</t>
  </si>
  <si>
    <t xml:space="preserve">    ---------</t>
  </si>
  <si>
    <t xml:space="preserve">     --------</t>
  </si>
  <si>
    <t xml:space="preserve">    --------</t>
  </si>
  <si>
    <t xml:space="preserve">     ----------</t>
  </si>
  <si>
    <t xml:space="preserve">     ---------</t>
  </si>
  <si>
    <t>152.-KAPPA CORONAE</t>
  </si>
  <si>
    <t>BOREALIS</t>
  </si>
  <si>
    <t>CORONAE</t>
  </si>
  <si>
    <t xml:space="preserve">    ----------</t>
  </si>
  <si>
    <t xml:space="preserve">   ---------</t>
  </si>
  <si>
    <t xml:space="preserve">  ---------</t>
  </si>
  <si>
    <t>153.-HD 330075</t>
  </si>
  <si>
    <t>NORMA</t>
  </si>
  <si>
    <t xml:space="preserve">       --------</t>
  </si>
  <si>
    <t xml:space="preserve">       ---------</t>
  </si>
  <si>
    <t>154.-HD 141937</t>
  </si>
  <si>
    <t>LIBRA</t>
  </si>
  <si>
    <t xml:space="preserve">      --------</t>
  </si>
  <si>
    <t>155.-HD 142415</t>
  </si>
  <si>
    <t xml:space="preserve">   ----------</t>
  </si>
  <si>
    <t xml:space="preserve">    -----------</t>
  </si>
  <si>
    <t>156.-RHO CORONAE</t>
  </si>
  <si>
    <t xml:space="preserve">      ----------</t>
  </si>
  <si>
    <t xml:space="preserve"> -----------</t>
  </si>
  <si>
    <t>157.-HD 142022</t>
  </si>
  <si>
    <t>A.-BINARIO</t>
  </si>
  <si>
    <t>OCTANS</t>
  </si>
  <si>
    <t xml:space="preserve">     -----------</t>
  </si>
  <si>
    <t>158.-14 HÉRCULIS</t>
  </si>
  <si>
    <t>HÉRCULES</t>
  </si>
  <si>
    <t>c</t>
  </si>
  <si>
    <t xml:space="preserve">      -----------</t>
  </si>
  <si>
    <t>159.-PSR-B 1620-26</t>
  </si>
  <si>
    <t>SCORPIUS</t>
  </si>
  <si>
    <t>BINARIO</t>
  </si>
  <si>
    <t>Matusalén</t>
  </si>
  <si>
    <t xml:space="preserve">   -----------</t>
  </si>
  <si>
    <t>160.-HD 147513</t>
  </si>
  <si>
    <t>161.-HD 150706</t>
  </si>
  <si>
    <t>OSA MENOR</t>
  </si>
  <si>
    <t>162.-HD 149143</t>
  </si>
  <si>
    <t>OFIUCO</t>
  </si>
  <si>
    <t xml:space="preserve">    ------------</t>
  </si>
  <si>
    <t xml:space="preserve">   --------</t>
  </si>
  <si>
    <t>163.-HD 154345</t>
  </si>
  <si>
    <t>164.-HD 155358</t>
  </si>
  <si>
    <t xml:space="preserve">       ----------</t>
  </si>
  <si>
    <t>165.-HD 154857</t>
  </si>
  <si>
    <t>ARA</t>
  </si>
  <si>
    <t>166.-HD 156846</t>
  </si>
  <si>
    <t>167.-GLIESE 674</t>
  </si>
  <si>
    <t>168.-HD 159868</t>
  </si>
  <si>
    <t>169.-MU ARAE</t>
  </si>
  <si>
    <t>d</t>
  </si>
  <si>
    <t>e</t>
  </si>
  <si>
    <t xml:space="preserve">      ------------</t>
  </si>
  <si>
    <t>170.-OGLE-2005-BLG-071L</t>
  </si>
  <si>
    <t xml:space="preserve">       -------</t>
  </si>
  <si>
    <t>171.-OGLE-2005-BLG-390L</t>
  </si>
  <si>
    <t>172.-HD 164922</t>
  </si>
  <si>
    <t>173.-OGLE-2005-BLG-169L</t>
  </si>
  <si>
    <t>SAGITARIO</t>
  </si>
  <si>
    <t xml:space="preserve">        ---------</t>
  </si>
  <si>
    <t>174.-HD 167042</t>
  </si>
  <si>
    <t>175.-HD 168443</t>
  </si>
  <si>
    <t>SERPENS</t>
  </si>
  <si>
    <t xml:space="preserve">     -------</t>
  </si>
  <si>
    <t xml:space="preserve">    -------</t>
  </si>
  <si>
    <t>176.-HD 168746</t>
  </si>
  <si>
    <t xml:space="preserve">      -------</t>
  </si>
  <si>
    <t>177.-HD 169830</t>
  </si>
  <si>
    <t>178.-HD 170469</t>
  </si>
  <si>
    <t>179.-HD 171028</t>
  </si>
  <si>
    <t>180.-HD 175541</t>
  </si>
  <si>
    <t xml:space="preserve">   ------------</t>
  </si>
  <si>
    <t>181.-HD 177830</t>
  </si>
  <si>
    <t>LYRA</t>
  </si>
  <si>
    <t>182.-HD 178911</t>
  </si>
  <si>
    <t>BINARIO-B</t>
  </si>
  <si>
    <t>Bb</t>
  </si>
  <si>
    <t>Bcm</t>
  </si>
  <si>
    <t>BCP</t>
  </si>
  <si>
    <t xml:space="preserve">   -------</t>
  </si>
  <si>
    <t>183.-HD 179949</t>
  </si>
  <si>
    <t>184.-HD 183263</t>
  </si>
  <si>
    <t>AQUILA</t>
  </si>
  <si>
    <t>185.-HD 231701</t>
  </si>
  <si>
    <t>SAGITTA</t>
  </si>
  <si>
    <t xml:space="preserve">     ------</t>
  </si>
  <si>
    <t>186.-HD 185269</t>
  </si>
  <si>
    <t>CYGNUS</t>
  </si>
  <si>
    <t>187.-16 CYGNI A</t>
  </si>
  <si>
    <t>C</t>
  </si>
  <si>
    <t>B</t>
  </si>
  <si>
    <t>cmB</t>
  </si>
  <si>
    <t>CPB</t>
  </si>
  <si>
    <t xml:space="preserve">       ------</t>
  </si>
  <si>
    <t>cmA</t>
  </si>
  <si>
    <t>CPA</t>
  </si>
  <si>
    <t>TRIPLE, A, B, C</t>
  </si>
  <si>
    <t>188.-HD 187123</t>
  </si>
  <si>
    <t>189.-HD 187085</t>
  </si>
  <si>
    <t>190.-HD 188015</t>
  </si>
  <si>
    <t>VULPECULA</t>
  </si>
  <si>
    <t>191.-HD 190228</t>
  </si>
  <si>
    <t xml:space="preserve">  ----------</t>
  </si>
  <si>
    <t>192.-GLIESE 777-A</t>
  </si>
  <si>
    <t>Ac</t>
  </si>
  <si>
    <t>Ab</t>
  </si>
  <si>
    <t>193.-HD 190647</t>
  </si>
  <si>
    <t>194.-HD 192263</t>
  </si>
  <si>
    <t>195.-HD 192699</t>
  </si>
  <si>
    <t>196.-HD 195019</t>
  </si>
  <si>
    <t>DELPHINUS</t>
  </si>
  <si>
    <t>197.-HD 196050</t>
  </si>
  <si>
    <t>PAVO</t>
  </si>
  <si>
    <t>198.-HD 196885-A</t>
  </si>
  <si>
    <t>199.-HD 202206</t>
  </si>
  <si>
    <t>CAPRICORNIUS</t>
  </si>
  <si>
    <t>200.-HD 208487</t>
  </si>
  <si>
    <t>GRUS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</si>
</sst>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6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u val="single"/>
      <sz val="14"/>
      <color indexed="36"/>
      <name val="Calibri"/>
      <family val="2"/>
    </font>
    <font>
      <u val="single"/>
      <sz val="14"/>
      <name val="Calibri"/>
      <family val="2"/>
    </font>
    <font>
      <b/>
      <u val="single"/>
      <sz val="14"/>
      <color indexed="62"/>
      <name val="Calibri"/>
      <family val="2"/>
    </font>
    <font>
      <u val="single"/>
      <sz val="14"/>
      <color indexed="62"/>
      <name val="Calibri"/>
      <family val="2"/>
    </font>
    <font>
      <b/>
      <u val="single"/>
      <sz val="14"/>
      <name val="Calibri"/>
      <family val="2"/>
    </font>
    <font>
      <b/>
      <u val="single"/>
      <sz val="14"/>
      <color indexed="1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u val="single"/>
      <sz val="14"/>
      <color theme="7"/>
      <name val="Calibri"/>
      <family val="2"/>
    </font>
    <font>
      <b/>
      <u val="single"/>
      <sz val="14"/>
      <color theme="4"/>
      <name val="Calibri"/>
      <family val="2"/>
    </font>
    <font>
      <u val="single"/>
      <sz val="14"/>
      <color theme="4"/>
      <name val="Calibri"/>
      <family val="2"/>
    </font>
    <font>
      <b/>
      <u val="single"/>
      <sz val="14"/>
      <color theme="5"/>
      <name val="Calibri"/>
      <family val="2"/>
    </font>
    <font>
      <u val="single"/>
      <sz val="14"/>
      <color theme="5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7" fillId="0" borderId="0" xfId="0" applyFont="1" applyAlignment="1">
      <alignment/>
    </xf>
    <xf numFmtId="0" fontId="25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28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1"/>
  <sheetViews>
    <sheetView tabSelected="1" zoomScalePageLayoutView="0" workbookViewId="0" topLeftCell="D212">
      <selection activeCell="H228" sqref="H228"/>
    </sheetView>
  </sheetViews>
  <sheetFormatPr defaultColWidth="11.421875" defaultRowHeight="15"/>
  <cols>
    <col min="1" max="1" width="27.7109375" style="0" customWidth="1"/>
    <col min="2" max="2" width="16.140625" style="0" customWidth="1"/>
    <col min="4" max="4" width="16.8515625" style="0" bestFit="1" customWidth="1"/>
    <col min="5" max="6" width="12.00390625" style="0" bestFit="1" customWidth="1"/>
    <col min="7" max="7" width="17.140625" style="0" bestFit="1" customWidth="1"/>
    <col min="8" max="8" width="16.8515625" style="0" bestFit="1" customWidth="1"/>
    <col min="9" max="9" width="12.8515625" style="0" customWidth="1"/>
    <col min="11" max="11" width="12.00390625" style="0" bestFit="1" customWidth="1"/>
    <col min="13" max="13" width="12.00390625" style="0" bestFit="1" customWidth="1"/>
    <col min="15" max="15" width="15.57421875" style="0" bestFit="1" customWidth="1"/>
    <col min="16" max="16" width="16.8515625" style="0" bestFit="1" customWidth="1"/>
    <col min="17" max="17" width="12.28125" style="0" customWidth="1"/>
    <col min="18" max="18" width="12.00390625" style="0" bestFit="1" customWidth="1"/>
  </cols>
  <sheetData>
    <row r="1" spans="1:1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">
        <v>149597870</v>
      </c>
      <c r="B2" s="1">
        <v>6.2832</v>
      </c>
      <c r="C2" s="1">
        <v>86400</v>
      </c>
      <c r="D2" s="1">
        <v>365.25</v>
      </c>
      <c r="E2" s="1">
        <v>1.989E+30</v>
      </c>
      <c r="F2" s="1">
        <v>1.899E+27</v>
      </c>
      <c r="G2" s="1">
        <v>5.9736E+24</v>
      </c>
      <c r="H2" s="1">
        <v>2.38E+18</v>
      </c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.75">
      <c r="A3" s="1"/>
      <c r="B3" s="1"/>
      <c r="C3" s="1"/>
      <c r="D3" s="1"/>
      <c r="E3" s="1"/>
      <c r="F3" s="1"/>
      <c r="G3" s="1"/>
      <c r="H3" s="1"/>
      <c r="I3" s="1"/>
      <c r="J3" s="3"/>
      <c r="K3" s="1"/>
      <c r="L3" s="1"/>
      <c r="M3" s="1"/>
      <c r="N3" s="1"/>
      <c r="O3" s="1"/>
      <c r="P3" s="1"/>
      <c r="Q3" s="1"/>
      <c r="R3" s="1"/>
    </row>
    <row r="4" spans="1:18" ht="23.25">
      <c r="A4" s="16" t="s">
        <v>36</v>
      </c>
      <c r="B4" s="1"/>
      <c r="C4" s="1"/>
      <c r="D4" s="1"/>
      <c r="E4" s="1"/>
      <c r="F4" s="8" t="s">
        <v>8</v>
      </c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1"/>
    </row>
    <row r="5" spans="1:18" ht="21">
      <c r="A5" s="2"/>
      <c r="B5" s="1"/>
      <c r="C5" s="2"/>
      <c r="D5" s="4" t="s">
        <v>9</v>
      </c>
      <c r="E5" s="5"/>
      <c r="F5" s="6"/>
      <c r="G5" s="6"/>
      <c r="H5" s="6"/>
      <c r="I5" s="6"/>
      <c r="J5" s="7"/>
      <c r="K5" s="7"/>
      <c r="L5" s="1"/>
      <c r="M5" s="1"/>
      <c r="N5" s="1"/>
      <c r="O5" s="1"/>
      <c r="P5" s="1"/>
      <c r="Q5" s="1"/>
      <c r="R5" s="1"/>
    </row>
    <row r="6" spans="1:18" ht="18.75">
      <c r="A6" s="9" t="s">
        <v>10</v>
      </c>
      <c r="B6" s="9" t="s">
        <v>11</v>
      </c>
      <c r="C6" s="9" t="s">
        <v>12</v>
      </c>
      <c r="D6" s="9" t="s">
        <v>13</v>
      </c>
      <c r="E6" s="9" t="s">
        <v>14</v>
      </c>
      <c r="F6" s="9" t="s">
        <v>15</v>
      </c>
      <c r="G6" s="9" t="s">
        <v>16</v>
      </c>
      <c r="H6" s="9" t="s">
        <v>17</v>
      </c>
      <c r="I6" s="14" t="s">
        <v>18</v>
      </c>
      <c r="J6" s="14" t="s">
        <v>19</v>
      </c>
      <c r="K6" s="14" t="s">
        <v>20</v>
      </c>
      <c r="L6" s="14" t="s">
        <v>21</v>
      </c>
      <c r="M6" s="14" t="s">
        <v>22</v>
      </c>
      <c r="N6" s="14" t="s">
        <v>23</v>
      </c>
      <c r="O6" s="14" t="s">
        <v>24</v>
      </c>
      <c r="P6" s="14" t="s">
        <v>25</v>
      </c>
      <c r="Q6" s="14" t="s">
        <v>26</v>
      </c>
      <c r="R6" s="13" t="s">
        <v>27</v>
      </c>
    </row>
    <row r="7" spans="1:18" ht="18.75">
      <c r="A7" s="11"/>
      <c r="B7" s="12"/>
      <c r="C7" s="11" t="s">
        <v>28</v>
      </c>
      <c r="D7" s="12" t="s">
        <v>29</v>
      </c>
      <c r="E7" s="12"/>
      <c r="F7" s="11" t="s">
        <v>30</v>
      </c>
      <c r="G7" s="11" t="s">
        <v>31</v>
      </c>
      <c r="H7" s="11" t="s">
        <v>32</v>
      </c>
      <c r="I7" s="14" t="s">
        <v>33</v>
      </c>
      <c r="J7" s="10" t="s">
        <v>34</v>
      </c>
      <c r="K7" s="14" t="s">
        <v>31</v>
      </c>
      <c r="L7" s="14" t="s">
        <v>35</v>
      </c>
      <c r="M7" s="15"/>
      <c r="N7" s="10" t="s">
        <v>34</v>
      </c>
      <c r="O7" s="15"/>
      <c r="P7" s="10" t="s">
        <v>34</v>
      </c>
      <c r="Q7" s="15"/>
      <c r="R7" s="1"/>
    </row>
    <row r="8" spans="1:18" ht="18.75">
      <c r="A8" s="17" t="s">
        <v>37</v>
      </c>
      <c r="B8" s="17" t="s">
        <v>38</v>
      </c>
      <c r="C8" s="17">
        <v>102.7</v>
      </c>
      <c r="D8" s="17">
        <f>+G8*H2</f>
        <v>2.10082823282033E+30</v>
      </c>
      <c r="E8" s="17">
        <f>+D8/E2</f>
        <v>1.0562233448066014</v>
      </c>
      <c r="F8" s="17">
        <f>+H2/(G8*L8)</f>
        <v>7.193612117321801</v>
      </c>
      <c r="G8" s="17">
        <f>+K9*L9*L9</f>
        <v>882700938159.8025</v>
      </c>
      <c r="H8" s="17">
        <f>+G8/A2/B2</f>
        <v>939.0901692842716</v>
      </c>
      <c r="I8" s="17" t="s">
        <v>39</v>
      </c>
      <c r="J8" s="1" t="s">
        <v>42</v>
      </c>
      <c r="K8">
        <f>+L8*B2</f>
        <v>2355034.29585339</v>
      </c>
      <c r="L8" s="17">
        <f>SQRT(R8)</f>
        <v>374814.4728567274</v>
      </c>
      <c r="M8" s="1" t="s">
        <v>43</v>
      </c>
      <c r="N8" s="1" t="s">
        <v>44</v>
      </c>
      <c r="O8" s="1" t="s">
        <v>45</v>
      </c>
      <c r="P8" s="1" t="s">
        <v>43</v>
      </c>
      <c r="Q8" s="1" t="s">
        <v>45</v>
      </c>
      <c r="R8">
        <f>+G8/B2</f>
        <v>140485889062.86646</v>
      </c>
    </row>
    <row r="9" spans="9:17" ht="18.75">
      <c r="I9" s="17" t="s">
        <v>40</v>
      </c>
      <c r="J9">
        <v>1.275</v>
      </c>
      <c r="K9">
        <f>+J9*A2*B2</f>
        <v>1198440504.3996</v>
      </c>
      <c r="L9" s="17">
        <f>+K9/M9</f>
        <v>27.139294560518074</v>
      </c>
      <c r="M9">
        <f>+N9*C2</f>
        <v>44158867.2</v>
      </c>
      <c r="N9">
        <v>511.098</v>
      </c>
      <c r="O9">
        <f>+N9/D2</f>
        <v>1.3993100616016427</v>
      </c>
      <c r="P9">
        <f>+F2/8.82</f>
        <v>2.1530612244897958E+26</v>
      </c>
      <c r="Q9" s="17">
        <f>+P9/H2</f>
        <v>90464757.33150402</v>
      </c>
    </row>
    <row r="10" spans="9:18" ht="18.75">
      <c r="I10" s="17" t="s">
        <v>41</v>
      </c>
      <c r="J10" s="17">
        <f>+K10/A2/B2</f>
        <v>2.5054800102215857</v>
      </c>
      <c r="K10">
        <f>+K8*1000</f>
        <v>2355034295.8533897</v>
      </c>
      <c r="L10" s="17">
        <f>SQRT(R10)</f>
        <v>19.360125848163474</v>
      </c>
      <c r="M10">
        <f>+K10/L10</f>
        <v>121643542.72918072</v>
      </c>
      <c r="N10">
        <f>+M10/C2</f>
        <v>1407.9113741803324</v>
      </c>
      <c r="O10" s="3">
        <f>+N10/D2</f>
        <v>3.8546512640118613</v>
      </c>
      <c r="P10" s="1" t="s">
        <v>46</v>
      </c>
      <c r="Q10" s="1" t="s">
        <v>47</v>
      </c>
      <c r="R10">
        <f>+G8/K10</f>
        <v>374.81447285672743</v>
      </c>
    </row>
    <row r="11" spans="1:18" ht="18.75">
      <c r="A11" s="9" t="s">
        <v>10</v>
      </c>
      <c r="B11" s="9" t="s">
        <v>11</v>
      </c>
      <c r="C11" s="9" t="s">
        <v>12</v>
      </c>
      <c r="D11" s="9" t="s">
        <v>13</v>
      </c>
      <c r="E11" s="9" t="s">
        <v>14</v>
      </c>
      <c r="F11" s="9" t="s">
        <v>15</v>
      </c>
      <c r="G11" s="9" t="s">
        <v>16</v>
      </c>
      <c r="H11" s="9" t="s">
        <v>17</v>
      </c>
      <c r="I11" s="14" t="s">
        <v>18</v>
      </c>
      <c r="J11" s="14" t="s">
        <v>19</v>
      </c>
      <c r="K11" s="14" t="s">
        <v>20</v>
      </c>
      <c r="L11" s="14" t="s">
        <v>21</v>
      </c>
      <c r="M11" s="14" t="s">
        <v>22</v>
      </c>
      <c r="N11" s="14" t="s">
        <v>23</v>
      </c>
      <c r="O11" s="14" t="s">
        <v>24</v>
      </c>
      <c r="P11" s="14" t="s">
        <v>25</v>
      </c>
      <c r="Q11" s="14" t="s">
        <v>26</v>
      </c>
      <c r="R11" s="13" t="s">
        <v>27</v>
      </c>
    </row>
    <row r="12" spans="1:18" ht="18.75">
      <c r="A12" s="11"/>
      <c r="B12" s="12"/>
      <c r="C12" s="11" t="s">
        <v>28</v>
      </c>
      <c r="D12" s="12" t="s">
        <v>29</v>
      </c>
      <c r="E12" s="12"/>
      <c r="F12" s="11" t="s">
        <v>30</v>
      </c>
      <c r="G12" s="11" t="s">
        <v>31</v>
      </c>
      <c r="H12" s="11" t="s">
        <v>32</v>
      </c>
      <c r="I12" s="14" t="s">
        <v>33</v>
      </c>
      <c r="J12" s="10" t="s">
        <v>34</v>
      </c>
      <c r="K12" s="14" t="s">
        <v>31</v>
      </c>
      <c r="L12" s="14" t="s">
        <v>35</v>
      </c>
      <c r="M12" s="15"/>
      <c r="N12" s="10" t="s">
        <v>34</v>
      </c>
      <c r="O12" s="15"/>
      <c r="P12" s="10" t="s">
        <v>34</v>
      </c>
      <c r="Q12" s="15"/>
      <c r="R12" s="1"/>
    </row>
    <row r="13" spans="1:18" ht="18.75">
      <c r="A13" s="17" t="s">
        <v>48</v>
      </c>
      <c r="B13" s="17" t="s">
        <v>50</v>
      </c>
      <c r="C13" s="17">
        <v>101.5</v>
      </c>
      <c r="D13" s="17">
        <f>+G13*H2</f>
        <v>3.5929337806422314E+30</v>
      </c>
      <c r="E13" s="17">
        <f>+D13/E2</f>
        <v>1.8064021018814638</v>
      </c>
      <c r="F13" s="17">
        <f>+H2/(G13*L13)</f>
        <v>3.2163182502781456</v>
      </c>
      <c r="G13" s="17">
        <f>+K14*L14*L14</f>
        <v>1509636042286.6519</v>
      </c>
      <c r="H13" s="17">
        <f>+G13/A2/B2</f>
        <v>1606.0755180164483</v>
      </c>
      <c r="I13" s="17" t="s">
        <v>39</v>
      </c>
      <c r="J13" s="1" t="s">
        <v>51</v>
      </c>
      <c r="K13">
        <f>+L13*B2</f>
        <v>3079828.7583720447</v>
      </c>
      <c r="L13" s="17">
        <f>SQRT(R13)</f>
        <v>490168.82454355183</v>
      </c>
      <c r="M13" s="1" t="s">
        <v>43</v>
      </c>
      <c r="N13" s="1" t="s">
        <v>52</v>
      </c>
      <c r="O13" s="1" t="s">
        <v>44</v>
      </c>
      <c r="P13" s="1" t="s">
        <v>52</v>
      </c>
      <c r="Q13" s="1" t="s">
        <v>47</v>
      </c>
      <c r="R13">
        <f>+G13/B2</f>
        <v>240265476554.4073</v>
      </c>
    </row>
    <row r="14" spans="1:17" ht="18.75">
      <c r="A14" s="17" t="s">
        <v>49</v>
      </c>
      <c r="B14" s="17" t="s">
        <v>49</v>
      </c>
      <c r="I14" s="17" t="s">
        <v>40</v>
      </c>
      <c r="J14">
        <v>2.68</v>
      </c>
      <c r="K14">
        <f>+J14*A2*B2</f>
        <v>2519074942.58112</v>
      </c>
      <c r="L14" s="17">
        <f>+K14/M14</f>
        <v>24.480235082768914</v>
      </c>
      <c r="M14">
        <f>+N14*C2</f>
        <v>102902400</v>
      </c>
      <c r="N14">
        <v>1191</v>
      </c>
      <c r="O14">
        <f>+N14/D2</f>
        <v>3.260780287474333</v>
      </c>
      <c r="P14">
        <f>+F2/1.8</f>
        <v>1.055E+27</v>
      </c>
      <c r="Q14" s="17">
        <f>+P14/H2</f>
        <v>443277310.92436975</v>
      </c>
    </row>
    <row r="15" spans="9:18" ht="18.75">
      <c r="I15" s="17" t="s">
        <v>41</v>
      </c>
      <c r="J15" s="17">
        <f>+K15/A2/B2</f>
        <v>3.276576227613079</v>
      </c>
      <c r="K15">
        <f>+K13*1000</f>
        <v>3079828758.3720446</v>
      </c>
      <c r="L15" s="17">
        <f>SQRT(R15)</f>
        <v>22.139756650504356</v>
      </c>
      <c r="M15">
        <f>+K15/L15</f>
        <v>139108518.98644894</v>
      </c>
      <c r="N15">
        <f>+M15/C2</f>
        <v>1610.0523030839</v>
      </c>
      <c r="O15" s="3">
        <f>+N15/D2</f>
        <v>4.408082965322108</v>
      </c>
      <c r="P15" s="1" t="s">
        <v>53</v>
      </c>
      <c r="Q15" s="1" t="s">
        <v>43</v>
      </c>
      <c r="R15">
        <f>+G13/K15</f>
        <v>490.16882454355186</v>
      </c>
    </row>
    <row r="16" spans="1:18" ht="18.75">
      <c r="A16" s="9" t="s">
        <v>10</v>
      </c>
      <c r="B16" s="9" t="s">
        <v>11</v>
      </c>
      <c r="C16" s="9" t="s">
        <v>12</v>
      </c>
      <c r="D16" s="9" t="s">
        <v>13</v>
      </c>
      <c r="E16" s="9" t="s">
        <v>14</v>
      </c>
      <c r="F16" s="9" t="s">
        <v>15</v>
      </c>
      <c r="G16" s="9" t="s">
        <v>16</v>
      </c>
      <c r="H16" s="9" t="s">
        <v>17</v>
      </c>
      <c r="I16" s="14" t="s">
        <v>18</v>
      </c>
      <c r="J16" s="14" t="s">
        <v>19</v>
      </c>
      <c r="K16" s="14" t="s">
        <v>20</v>
      </c>
      <c r="L16" s="14" t="s">
        <v>21</v>
      </c>
      <c r="M16" s="14" t="s">
        <v>22</v>
      </c>
      <c r="N16" s="14" t="s">
        <v>23</v>
      </c>
      <c r="O16" s="14" t="s">
        <v>24</v>
      </c>
      <c r="P16" s="14" t="s">
        <v>25</v>
      </c>
      <c r="Q16" s="14" t="s">
        <v>26</v>
      </c>
      <c r="R16" s="13" t="s">
        <v>27</v>
      </c>
    </row>
    <row r="17" spans="1:18" ht="18.75">
      <c r="A17" s="11"/>
      <c r="B17" s="12"/>
      <c r="C17" s="11" t="s">
        <v>28</v>
      </c>
      <c r="D17" s="12" t="s">
        <v>29</v>
      </c>
      <c r="E17" s="12"/>
      <c r="F17" s="11" t="s">
        <v>30</v>
      </c>
      <c r="G17" s="11" t="s">
        <v>31</v>
      </c>
      <c r="H17" s="11" t="s">
        <v>32</v>
      </c>
      <c r="I17" s="14" t="s">
        <v>33</v>
      </c>
      <c r="J17" s="10" t="s">
        <v>34</v>
      </c>
      <c r="K17" s="14" t="s">
        <v>31</v>
      </c>
      <c r="L17" s="14" t="s">
        <v>35</v>
      </c>
      <c r="M17" s="15"/>
      <c r="N17" s="10" t="s">
        <v>34</v>
      </c>
      <c r="O17" s="15"/>
      <c r="P17" s="10" t="s">
        <v>34</v>
      </c>
      <c r="Q17" s="15"/>
      <c r="R17" s="1"/>
    </row>
    <row r="18" spans="1:18" ht="18.75">
      <c r="A18" s="17" t="s">
        <v>54</v>
      </c>
      <c r="B18" s="17" t="s">
        <v>55</v>
      </c>
      <c r="C18" s="17">
        <v>163.7</v>
      </c>
      <c r="D18" s="17">
        <f>+G18*H2</f>
        <v>1.854691572955691E+30</v>
      </c>
      <c r="E18" s="17">
        <f>+D18/E2</f>
        <v>0.9324743956539423</v>
      </c>
      <c r="F18" s="17">
        <f>+H2/(G18*L18)</f>
        <v>8.672120155742002</v>
      </c>
      <c r="G18" s="17">
        <f>+K19*L19*L19</f>
        <v>779282173510.7946</v>
      </c>
      <c r="H18" s="17">
        <f>+G18/A2/B2</f>
        <v>829.0647450405004</v>
      </c>
      <c r="I18" s="17" t="s">
        <v>39</v>
      </c>
      <c r="J18" s="1" t="s">
        <v>56</v>
      </c>
      <c r="K18">
        <f>+L18*B2</f>
        <v>2212777.8362508565</v>
      </c>
      <c r="L18" s="17">
        <f>SQRT(R18)</f>
        <v>352173.70706819085</v>
      </c>
      <c r="M18" s="1" t="s">
        <v>51</v>
      </c>
      <c r="N18" s="1" t="s">
        <v>43</v>
      </c>
      <c r="O18" s="1" t="s">
        <v>43</v>
      </c>
      <c r="P18" s="1" t="s">
        <v>47</v>
      </c>
      <c r="Q18" s="1" t="s">
        <v>51</v>
      </c>
      <c r="R18">
        <f>+G18/B2</f>
        <v>124026319950.15192</v>
      </c>
    </row>
    <row r="19" spans="9:17" ht="18.75">
      <c r="I19" s="17" t="s">
        <v>40</v>
      </c>
      <c r="J19">
        <v>0.043</v>
      </c>
      <c r="K19">
        <f>+J19*A2*B2</f>
        <v>40417993.48171199</v>
      </c>
      <c r="L19" s="17">
        <f>+K19/M19</f>
        <v>138.85451186784732</v>
      </c>
      <c r="M19">
        <f>+N19*C2</f>
        <v>291081.60000000003</v>
      </c>
      <c r="N19">
        <v>3.369</v>
      </c>
      <c r="O19">
        <f>+N19/D2</f>
        <v>0.00922381930184805</v>
      </c>
      <c r="P19">
        <f>+F2*0.76</f>
        <v>1.44324E+27</v>
      </c>
      <c r="Q19" s="17">
        <f>+P19/H2</f>
        <v>606403361.3445379</v>
      </c>
    </row>
    <row r="20" spans="9:18" ht="18.75">
      <c r="I20" s="17" t="s">
        <v>41</v>
      </c>
      <c r="J20" s="17">
        <f>+K20/A2/B2</f>
        <v>2.354135838085066</v>
      </c>
      <c r="K20">
        <f>+K18*1000</f>
        <v>2212777836.2508564</v>
      </c>
      <c r="L20" s="17">
        <f>SQRT(R20)</f>
        <v>18.76629177723162</v>
      </c>
      <c r="M20">
        <f>+K20/L20</f>
        <v>117912364.49470162</v>
      </c>
      <c r="N20">
        <f>+M20/C2</f>
        <v>1364.7264409108984</v>
      </c>
      <c r="O20" s="3">
        <f>+N20/D2</f>
        <v>3.7364173604678945</v>
      </c>
      <c r="P20" s="1" t="s">
        <v>47</v>
      </c>
      <c r="Q20" s="1" t="s">
        <v>57</v>
      </c>
      <c r="R20">
        <f>+G18/K20</f>
        <v>352.173707068191</v>
      </c>
    </row>
    <row r="21" spans="1:18" ht="18.75">
      <c r="A21" s="9" t="s">
        <v>10</v>
      </c>
      <c r="B21" s="9" t="s">
        <v>11</v>
      </c>
      <c r="C21" s="9" t="s">
        <v>12</v>
      </c>
      <c r="D21" s="9" t="s">
        <v>13</v>
      </c>
      <c r="E21" s="9" t="s">
        <v>14</v>
      </c>
      <c r="F21" s="9" t="s">
        <v>15</v>
      </c>
      <c r="G21" s="9" t="s">
        <v>16</v>
      </c>
      <c r="H21" s="9" t="s">
        <v>17</v>
      </c>
      <c r="I21" s="14" t="s">
        <v>18</v>
      </c>
      <c r="J21" s="14" t="s">
        <v>19</v>
      </c>
      <c r="K21" s="14" t="s">
        <v>20</v>
      </c>
      <c r="L21" s="14" t="s">
        <v>21</v>
      </c>
      <c r="M21" s="14" t="s">
        <v>22</v>
      </c>
      <c r="N21" s="14" t="s">
        <v>23</v>
      </c>
      <c r="O21" s="14" t="s">
        <v>24</v>
      </c>
      <c r="P21" s="14" t="s">
        <v>25</v>
      </c>
      <c r="Q21" s="14" t="s">
        <v>26</v>
      </c>
      <c r="R21" s="13" t="s">
        <v>27</v>
      </c>
    </row>
    <row r="22" spans="1:18" ht="18.75">
      <c r="A22" s="11"/>
      <c r="B22" s="12"/>
      <c r="C22" s="11" t="s">
        <v>28</v>
      </c>
      <c r="D22" s="12" t="s">
        <v>29</v>
      </c>
      <c r="E22" s="12"/>
      <c r="F22" s="11" t="s">
        <v>30</v>
      </c>
      <c r="G22" s="11" t="s">
        <v>31</v>
      </c>
      <c r="H22" s="11" t="s">
        <v>32</v>
      </c>
      <c r="I22" s="14" t="s">
        <v>33</v>
      </c>
      <c r="J22" s="10" t="s">
        <v>34</v>
      </c>
      <c r="K22" s="14" t="s">
        <v>31</v>
      </c>
      <c r="L22" s="14" t="s">
        <v>35</v>
      </c>
      <c r="M22" s="15"/>
      <c r="N22" s="10" t="s">
        <v>34</v>
      </c>
      <c r="O22" s="15"/>
      <c r="P22" s="10" t="s">
        <v>34</v>
      </c>
      <c r="Q22" s="15"/>
      <c r="R22" s="1"/>
    </row>
    <row r="23" spans="1:18" ht="18.75">
      <c r="A23" s="17" t="s">
        <v>58</v>
      </c>
      <c r="B23" s="17" t="s">
        <v>59</v>
      </c>
      <c r="C23" s="17">
        <v>109.1</v>
      </c>
      <c r="D23" s="17">
        <f>+G23*H2</f>
        <v>2.1791151051661086E+30</v>
      </c>
      <c r="E23" s="17">
        <f>+D23/E2</f>
        <v>1.0955832605158917</v>
      </c>
      <c r="F23" s="17">
        <f>+H2/(G23*L23)</f>
        <v>6.809458507131012</v>
      </c>
      <c r="G23" s="17">
        <f>+K24*L24*L24</f>
        <v>915594582002.5667</v>
      </c>
      <c r="H23" s="17">
        <f>+G23/A2/B2</f>
        <v>974.0851446256092</v>
      </c>
      <c r="I23" s="17" t="s">
        <v>39</v>
      </c>
      <c r="J23" s="1" t="s">
        <v>44</v>
      </c>
      <c r="K23">
        <f>+L23*B2</f>
        <v>2398512.8470864035</v>
      </c>
      <c r="L23" s="17">
        <f>SQRT(R23)</f>
        <v>381734.28302240954</v>
      </c>
      <c r="M23" s="1" t="s">
        <v>60</v>
      </c>
      <c r="N23" s="1" t="s">
        <v>51</v>
      </c>
      <c r="O23" s="1" t="s">
        <v>47</v>
      </c>
      <c r="P23" s="1" t="s">
        <v>46</v>
      </c>
      <c r="Q23" s="1" t="s">
        <v>44</v>
      </c>
      <c r="R23">
        <f>+G23/B2</f>
        <v>145721062834.6331</v>
      </c>
    </row>
    <row r="24" spans="9:17" ht="18.75">
      <c r="I24" s="17" t="s">
        <v>40</v>
      </c>
      <c r="J24">
        <v>1.52</v>
      </c>
      <c r="K24">
        <f>+J24*A2*B2</f>
        <v>1428729071.91168</v>
      </c>
      <c r="L24" s="17">
        <f>+K24/M24</f>
        <v>25.314926227134638</v>
      </c>
      <c r="M24">
        <f>+N24*C2</f>
        <v>56438208</v>
      </c>
      <c r="N24">
        <v>653.22</v>
      </c>
      <c r="O24">
        <f>+N24/D2</f>
        <v>1.7884188911704313</v>
      </c>
      <c r="P24">
        <f>+F2/9.7</f>
        <v>1.957731958762887E+26</v>
      </c>
      <c r="Q24" s="17">
        <f>+P24/H2</f>
        <v>82257645.32617173</v>
      </c>
    </row>
    <row r="25" spans="9:18" ht="18.75">
      <c r="I25" s="17" t="s">
        <v>41</v>
      </c>
      <c r="J25" s="17">
        <f>+K25/A2/B2</f>
        <v>2.551736084360088</v>
      </c>
      <c r="K25">
        <f>+K23*1000</f>
        <v>2398512847.0864034</v>
      </c>
      <c r="L25" s="17">
        <f>SQRT(R25)</f>
        <v>19.53802147154132</v>
      </c>
      <c r="M25">
        <f>+K25/L25</f>
        <v>122761296.50998837</v>
      </c>
      <c r="N25">
        <f>+M25/C2</f>
        <v>1420.8483392359765</v>
      </c>
      <c r="O25" s="3">
        <f>+N25/D2</f>
        <v>3.890070743972557</v>
      </c>
      <c r="P25" s="1" t="s">
        <v>47</v>
      </c>
      <c r="Q25" s="1" t="s">
        <v>60</v>
      </c>
      <c r="R25">
        <f>+G23/K25</f>
        <v>381.73428302240967</v>
      </c>
    </row>
    <row r="26" spans="1:18" ht="18.75">
      <c r="A26" s="9" t="s">
        <v>10</v>
      </c>
      <c r="B26" s="9" t="s">
        <v>11</v>
      </c>
      <c r="C26" s="9" t="s">
        <v>12</v>
      </c>
      <c r="D26" s="9" t="s">
        <v>13</v>
      </c>
      <c r="E26" s="9" t="s">
        <v>14</v>
      </c>
      <c r="F26" s="9" t="s">
        <v>15</v>
      </c>
      <c r="G26" s="9" t="s">
        <v>16</v>
      </c>
      <c r="H26" s="9" t="s">
        <v>17</v>
      </c>
      <c r="I26" s="14" t="s">
        <v>18</v>
      </c>
      <c r="J26" s="14" t="s">
        <v>19</v>
      </c>
      <c r="K26" s="14" t="s">
        <v>20</v>
      </c>
      <c r="L26" s="14" t="s">
        <v>21</v>
      </c>
      <c r="M26" s="14" t="s">
        <v>22</v>
      </c>
      <c r="N26" s="14" t="s">
        <v>23</v>
      </c>
      <c r="O26" s="14" t="s">
        <v>24</v>
      </c>
      <c r="P26" s="14" t="s">
        <v>25</v>
      </c>
      <c r="Q26" s="14" t="s">
        <v>26</v>
      </c>
      <c r="R26" s="13" t="s">
        <v>27</v>
      </c>
    </row>
    <row r="27" spans="1:18" ht="18.75">
      <c r="A27" s="11"/>
      <c r="B27" s="12"/>
      <c r="C27" s="11" t="s">
        <v>28</v>
      </c>
      <c r="D27" s="12" t="s">
        <v>29</v>
      </c>
      <c r="E27" s="12"/>
      <c r="F27" s="11" t="s">
        <v>30</v>
      </c>
      <c r="G27" s="11" t="s">
        <v>31</v>
      </c>
      <c r="H27" s="11" t="s">
        <v>32</v>
      </c>
      <c r="I27" s="14" t="s">
        <v>33</v>
      </c>
      <c r="J27" s="10" t="s">
        <v>34</v>
      </c>
      <c r="K27" s="14" t="s">
        <v>31</v>
      </c>
      <c r="L27" s="14" t="s">
        <v>35</v>
      </c>
      <c r="M27" s="15"/>
      <c r="N27" s="10" t="s">
        <v>34</v>
      </c>
      <c r="O27" s="15"/>
      <c r="P27" s="10" t="s">
        <v>34</v>
      </c>
      <c r="Q27" s="15"/>
      <c r="R27" s="1"/>
    </row>
    <row r="28" spans="1:18" ht="18.75">
      <c r="A28" s="17" t="s">
        <v>61</v>
      </c>
      <c r="B28" s="17" t="s">
        <v>55</v>
      </c>
      <c r="C28" s="17">
        <v>111.5</v>
      </c>
      <c r="D28" s="17">
        <f>+G28*H2</f>
        <v>2.0539356587572458E+30</v>
      </c>
      <c r="E28" s="17">
        <f>+D28/E2</f>
        <v>1.0326473900237536</v>
      </c>
      <c r="F28" s="17">
        <f>+H2/(G28*L28)</f>
        <v>7.441364573033081</v>
      </c>
      <c r="G28" s="17">
        <f>+K29*L29*L29</f>
        <v>862998175948.4226</v>
      </c>
      <c r="H28" s="17">
        <f>+G28/A2/B2</f>
        <v>918.1287433917993</v>
      </c>
      <c r="I28" s="17" t="s">
        <v>39</v>
      </c>
      <c r="J28" s="1" t="s">
        <v>42</v>
      </c>
      <c r="K28">
        <f>+L28*B2</f>
        <v>2328602.6151147233</v>
      </c>
      <c r="L28" s="17">
        <f>SQRT(R28)</f>
        <v>370607.7500500897</v>
      </c>
      <c r="M28" s="1" t="s">
        <v>42</v>
      </c>
      <c r="N28" s="1" t="s">
        <v>46</v>
      </c>
      <c r="O28" s="1" t="s">
        <v>45</v>
      </c>
      <c r="P28" s="1" t="s">
        <v>51</v>
      </c>
      <c r="Q28" s="1" t="s">
        <v>62</v>
      </c>
      <c r="R28">
        <f>+G28/B2</f>
        <v>137350104397.18974</v>
      </c>
    </row>
    <row r="29" spans="9:17" ht="18.75">
      <c r="I29" s="17" t="s">
        <v>40</v>
      </c>
      <c r="J29">
        <v>1.05</v>
      </c>
      <c r="K29">
        <f>+J29*A2*B2</f>
        <v>986951003.6231999</v>
      </c>
      <c r="L29" s="17">
        <f>+K29/M29</f>
        <v>29.5703961258521</v>
      </c>
      <c r="M29">
        <f>+N29*C2</f>
        <v>33376320</v>
      </c>
      <c r="N29">
        <v>386.3</v>
      </c>
      <c r="O29">
        <f>+N29/D2</f>
        <v>1.0576317590691309</v>
      </c>
      <c r="P29">
        <f>+F2/1.62</f>
        <v>1.1722222222222221E+27</v>
      </c>
      <c r="Q29" s="17">
        <f>+P29/H2</f>
        <v>492530345.4715219</v>
      </c>
    </row>
    <row r="30" spans="9:18" ht="18.75">
      <c r="I30" s="17" t="s">
        <v>41</v>
      </c>
      <c r="J30" s="17">
        <f>+K30/A2/B2</f>
        <v>2.4773598049898014</v>
      </c>
      <c r="K30">
        <f>+K28*1000</f>
        <v>2328602615.114723</v>
      </c>
      <c r="L30" s="17">
        <f>SQRT(R30)</f>
        <v>19.251175290098256</v>
      </c>
      <c r="M30">
        <f>+K30/L30</f>
        <v>120958984.58274534</v>
      </c>
      <c r="N30">
        <f>+M30/C2</f>
        <v>1399.9882474854785</v>
      </c>
      <c r="O30" s="3">
        <f>+N30/D2</f>
        <v>3.8329589253538083</v>
      </c>
      <c r="P30" s="1" t="s">
        <v>63</v>
      </c>
      <c r="Q30" s="1" t="s">
        <v>42</v>
      </c>
      <c r="R30">
        <f>+G28/K30</f>
        <v>370.6077500500897</v>
      </c>
    </row>
    <row r="31" spans="1:18" ht="18.75">
      <c r="A31" s="9" t="s">
        <v>10</v>
      </c>
      <c r="B31" s="9" t="s">
        <v>11</v>
      </c>
      <c r="C31" s="9" t="s">
        <v>12</v>
      </c>
      <c r="D31" s="9" t="s">
        <v>13</v>
      </c>
      <c r="E31" s="9" t="s">
        <v>14</v>
      </c>
      <c r="F31" s="9" t="s">
        <v>15</v>
      </c>
      <c r="G31" s="9" t="s">
        <v>16</v>
      </c>
      <c r="H31" s="9" t="s">
        <v>17</v>
      </c>
      <c r="I31" s="14" t="s">
        <v>18</v>
      </c>
      <c r="J31" s="14" t="s">
        <v>19</v>
      </c>
      <c r="K31" s="14" t="s">
        <v>20</v>
      </c>
      <c r="L31" s="14" t="s">
        <v>21</v>
      </c>
      <c r="M31" s="14" t="s">
        <v>22</v>
      </c>
      <c r="N31" s="14" t="s">
        <v>23</v>
      </c>
      <c r="O31" s="14" t="s">
        <v>24</v>
      </c>
      <c r="P31" s="14" t="s">
        <v>25</v>
      </c>
      <c r="Q31" s="14" t="s">
        <v>26</v>
      </c>
      <c r="R31" s="13" t="s">
        <v>27</v>
      </c>
    </row>
    <row r="32" spans="1:18" ht="18.75">
      <c r="A32" s="11"/>
      <c r="B32" s="12"/>
      <c r="C32" s="11" t="s">
        <v>28</v>
      </c>
      <c r="D32" s="12" t="s">
        <v>29</v>
      </c>
      <c r="E32" s="12"/>
      <c r="F32" s="11" t="s">
        <v>30</v>
      </c>
      <c r="G32" s="11" t="s">
        <v>31</v>
      </c>
      <c r="H32" s="11" t="s">
        <v>32</v>
      </c>
      <c r="I32" s="14" t="s">
        <v>33</v>
      </c>
      <c r="J32" s="10" t="s">
        <v>34</v>
      </c>
      <c r="K32" s="14" t="s">
        <v>31</v>
      </c>
      <c r="L32" s="14" t="s">
        <v>35</v>
      </c>
      <c r="M32" s="15"/>
      <c r="N32" s="10" t="s">
        <v>34</v>
      </c>
      <c r="O32" s="15"/>
      <c r="P32" s="10" t="s">
        <v>34</v>
      </c>
      <c r="Q32" s="15"/>
      <c r="R32" s="1"/>
    </row>
    <row r="33" spans="1:18" ht="18.75">
      <c r="A33" s="17" t="s">
        <v>64</v>
      </c>
      <c r="B33" s="17" t="s">
        <v>50</v>
      </c>
      <c r="C33" s="17">
        <v>56.81</v>
      </c>
      <c r="D33" s="17">
        <f>+G33*H2</f>
        <v>2.0027618890841992E+30</v>
      </c>
      <c r="E33" s="17">
        <f>+D33/E2</f>
        <v>1.006918999036802</v>
      </c>
      <c r="F33" s="17">
        <f>+H2/(G33*L33)</f>
        <v>7.728386919783727</v>
      </c>
      <c r="G33" s="17">
        <f>+K34*L34*L34</f>
        <v>841496592052.1846</v>
      </c>
      <c r="H33" s="17">
        <f>+G33/A2/B2</f>
        <v>895.2535824079523</v>
      </c>
      <c r="I33" s="17" t="s">
        <v>39</v>
      </c>
      <c r="J33" s="1" t="s">
        <v>65</v>
      </c>
      <c r="K33">
        <f>+L33*B2</f>
        <v>2299411.0957334894</v>
      </c>
      <c r="L33" s="17">
        <f>SQRT(R33)</f>
        <v>365961.7863084876</v>
      </c>
      <c r="M33" s="1" t="s">
        <v>43</v>
      </c>
      <c r="N33" s="1" t="s">
        <v>43</v>
      </c>
      <c r="O33" s="1" t="s">
        <v>44</v>
      </c>
      <c r="P33" s="1" t="s">
        <v>66</v>
      </c>
      <c r="Q33" s="1" t="s">
        <v>47</v>
      </c>
      <c r="R33">
        <f>+G33/B2</f>
        <v>133928029038.09915</v>
      </c>
    </row>
    <row r="34" spans="1:17" ht="18.75">
      <c r="A34" s="17" t="s">
        <v>49</v>
      </c>
      <c r="I34" s="17" t="s">
        <v>40</v>
      </c>
      <c r="J34">
        <v>0.229</v>
      </c>
      <c r="K34">
        <f>+J34*A2*B2</f>
        <v>215249314.12353602</v>
      </c>
      <c r="L34" s="17">
        <f>+K34/M34</f>
        <v>62.52522922781697</v>
      </c>
      <c r="M34">
        <f>+N34*C2</f>
        <v>3442599.3600000003</v>
      </c>
      <c r="N34">
        <v>39.8449</v>
      </c>
      <c r="O34">
        <f>+N34/D2</f>
        <v>0.10908939082819986</v>
      </c>
      <c r="P34">
        <f>+F2/1.693</f>
        <v>1.121677495569994E+27</v>
      </c>
      <c r="Q34" s="17">
        <f>+P34/H2</f>
        <v>471293065.3655437</v>
      </c>
    </row>
    <row r="35" spans="9:18" ht="18.75">
      <c r="I35" s="17" t="s">
        <v>41</v>
      </c>
      <c r="J35" s="17">
        <f>+K35/A2/B2</f>
        <v>2.4463034554468432</v>
      </c>
      <c r="K35">
        <f>+K33*1000</f>
        <v>2299411095.7334895</v>
      </c>
      <c r="L35" s="17">
        <f>SQRT(R35)</f>
        <v>19.130127712811735</v>
      </c>
      <c r="M35">
        <f>+K35/L35</f>
        <v>120198418.44513872</v>
      </c>
      <c r="N35">
        <f>+M35/C2</f>
        <v>1391.1853986705871</v>
      </c>
      <c r="O35" s="3">
        <f>+N35/D2</f>
        <v>3.808858038796953</v>
      </c>
      <c r="P35" s="1" t="s">
        <v>43</v>
      </c>
      <c r="Q35" s="1" t="s">
        <v>46</v>
      </c>
      <c r="R35">
        <f>+G33/K35</f>
        <v>365.9617863084876</v>
      </c>
    </row>
    <row r="36" spans="1:18" ht="18.75">
      <c r="A36" s="9" t="s">
        <v>10</v>
      </c>
      <c r="B36" s="9" t="s">
        <v>11</v>
      </c>
      <c r="C36" s="9" t="s">
        <v>12</v>
      </c>
      <c r="D36" s="9" t="s">
        <v>13</v>
      </c>
      <c r="E36" s="9" t="s">
        <v>14</v>
      </c>
      <c r="F36" s="9" t="s">
        <v>15</v>
      </c>
      <c r="G36" s="9" t="s">
        <v>16</v>
      </c>
      <c r="H36" s="9" t="s">
        <v>17</v>
      </c>
      <c r="I36" s="14" t="s">
        <v>18</v>
      </c>
      <c r="J36" s="14" t="s">
        <v>19</v>
      </c>
      <c r="K36" s="14" t="s">
        <v>20</v>
      </c>
      <c r="L36" s="14" t="s">
        <v>21</v>
      </c>
      <c r="M36" s="14" t="s">
        <v>22</v>
      </c>
      <c r="N36" s="14" t="s">
        <v>23</v>
      </c>
      <c r="O36" s="14" t="s">
        <v>24</v>
      </c>
      <c r="P36" s="14" t="s">
        <v>25</v>
      </c>
      <c r="Q36" s="14" t="s">
        <v>26</v>
      </c>
      <c r="R36" s="13" t="s">
        <v>27</v>
      </c>
    </row>
    <row r="37" spans="1:18" ht="18.75">
      <c r="A37" s="11"/>
      <c r="B37" s="12"/>
      <c r="C37" s="11" t="s">
        <v>28</v>
      </c>
      <c r="D37" s="12" t="s">
        <v>29</v>
      </c>
      <c r="E37" s="12"/>
      <c r="F37" s="11" t="s">
        <v>30</v>
      </c>
      <c r="G37" s="11" t="s">
        <v>31</v>
      </c>
      <c r="H37" s="11" t="s">
        <v>32</v>
      </c>
      <c r="I37" s="14" t="s">
        <v>33</v>
      </c>
      <c r="J37" s="10" t="s">
        <v>34</v>
      </c>
      <c r="K37" s="14" t="s">
        <v>31</v>
      </c>
      <c r="L37" s="14" t="s">
        <v>35</v>
      </c>
      <c r="M37" s="15"/>
      <c r="N37" s="10" t="s">
        <v>34</v>
      </c>
      <c r="O37" s="15"/>
      <c r="P37" s="10" t="s">
        <v>34</v>
      </c>
      <c r="Q37" s="15"/>
      <c r="R37" s="1"/>
    </row>
    <row r="38" spans="1:18" ht="18.75">
      <c r="A38" s="17" t="s">
        <v>67</v>
      </c>
      <c r="B38" s="17" t="s">
        <v>69</v>
      </c>
      <c r="C38" s="17">
        <v>117</v>
      </c>
      <c r="D38" s="17">
        <f>+G38*H2</f>
        <v>1.7916664273032805E+30</v>
      </c>
      <c r="E38" s="17">
        <f>+D38/E2</f>
        <v>0.9007875451499651</v>
      </c>
      <c r="F38" s="17">
        <f>+H2/(G38*L38)</f>
        <v>9.133707527109166</v>
      </c>
      <c r="G38" s="17">
        <f>+K39*L39*L39</f>
        <v>752801019875.328</v>
      </c>
      <c r="H38" s="17">
        <f>+G38/A2/B2</f>
        <v>800.8919064546294</v>
      </c>
      <c r="I38" s="17" t="s">
        <v>39</v>
      </c>
      <c r="J38" s="1" t="s">
        <v>60</v>
      </c>
      <c r="K38">
        <f>+L38*B2</f>
        <v>2174856.171814739</v>
      </c>
      <c r="L38" s="17">
        <f>SQRT(R38)</f>
        <v>346138.3008363157</v>
      </c>
      <c r="M38" s="1" t="s">
        <v>47</v>
      </c>
      <c r="N38" s="1" t="s">
        <v>45</v>
      </c>
      <c r="O38" s="1" t="s">
        <v>44</v>
      </c>
      <c r="P38" s="1" t="s">
        <v>45</v>
      </c>
      <c r="Q38" s="1" t="s">
        <v>43</v>
      </c>
      <c r="R38">
        <f>+G38/B2</f>
        <v>119811723305.85179</v>
      </c>
    </row>
    <row r="39" spans="1:17" ht="18.75">
      <c r="A39" s="17" t="s">
        <v>68</v>
      </c>
      <c r="I39" s="17" t="s">
        <v>40</v>
      </c>
      <c r="J39">
        <v>2.93</v>
      </c>
      <c r="K39">
        <f>+J39*A2*B2</f>
        <v>2754063276.77712</v>
      </c>
      <c r="L39" s="17">
        <f>+K39/M39</f>
        <v>16.533056208560975</v>
      </c>
      <c r="M39">
        <f>+N39*C2</f>
        <v>166579200</v>
      </c>
      <c r="N39">
        <v>1928</v>
      </c>
      <c r="O39">
        <f>+N39/D2</f>
        <v>5.278576317590692</v>
      </c>
      <c r="P39">
        <f>+F2/4.47</f>
        <v>4.248322147651007E+26</v>
      </c>
      <c r="Q39" s="17">
        <f>+P39/H2</f>
        <v>178500930.57357174</v>
      </c>
    </row>
    <row r="40" spans="9:18" ht="18.75">
      <c r="I40" s="17" t="s">
        <v>41</v>
      </c>
      <c r="J40" s="17">
        <f>+K40/A2/B2</f>
        <v>2.3137916391210362</v>
      </c>
      <c r="K40">
        <f>+K38*1000</f>
        <v>2174856171.8147388</v>
      </c>
      <c r="L40" s="17">
        <f>SQRT(R40)</f>
        <v>18.604792415835114</v>
      </c>
      <c r="M40">
        <f>+K40/L40</f>
        <v>116897631.70717517</v>
      </c>
      <c r="N40">
        <f>+M40/C2</f>
        <v>1352.9818484626755</v>
      </c>
      <c r="O40" s="3">
        <f>+N40/D2</f>
        <v>3.7042624187889817</v>
      </c>
      <c r="P40" s="1" t="s">
        <v>51</v>
      </c>
      <c r="Q40" s="1" t="s">
        <v>70</v>
      </c>
      <c r="R40">
        <f>+G38/K40</f>
        <v>346.13830083631575</v>
      </c>
    </row>
    <row r="41" spans="1:18" ht="18.75">
      <c r="A41" s="9" t="s">
        <v>10</v>
      </c>
      <c r="B41" s="9" t="s">
        <v>11</v>
      </c>
      <c r="C41" s="9" t="s">
        <v>12</v>
      </c>
      <c r="D41" s="9" t="s">
        <v>13</v>
      </c>
      <c r="E41" s="9" t="s">
        <v>14</v>
      </c>
      <c r="F41" s="9" t="s">
        <v>15</v>
      </c>
      <c r="G41" s="9" t="s">
        <v>16</v>
      </c>
      <c r="H41" s="9" t="s">
        <v>17</v>
      </c>
      <c r="I41" s="14" t="s">
        <v>18</v>
      </c>
      <c r="J41" s="14" t="s">
        <v>19</v>
      </c>
      <c r="K41" s="14" t="s">
        <v>20</v>
      </c>
      <c r="L41" s="14" t="s">
        <v>21</v>
      </c>
      <c r="M41" s="14" t="s">
        <v>22</v>
      </c>
      <c r="N41" s="14" t="s">
        <v>23</v>
      </c>
      <c r="O41" s="14" t="s">
        <v>24</v>
      </c>
      <c r="P41" s="14" t="s">
        <v>25</v>
      </c>
      <c r="Q41" s="14" t="s">
        <v>26</v>
      </c>
      <c r="R41" s="13" t="s">
        <v>27</v>
      </c>
    </row>
    <row r="42" spans="1:18" ht="18.75">
      <c r="A42" s="11"/>
      <c r="B42" s="12"/>
      <c r="C42" s="11" t="s">
        <v>28</v>
      </c>
      <c r="D42" s="12" t="s">
        <v>29</v>
      </c>
      <c r="E42" s="12"/>
      <c r="F42" s="11" t="s">
        <v>30</v>
      </c>
      <c r="G42" s="11" t="s">
        <v>31</v>
      </c>
      <c r="H42" s="11" t="s">
        <v>32</v>
      </c>
      <c r="I42" s="14" t="s">
        <v>33</v>
      </c>
      <c r="J42" s="10" t="s">
        <v>34</v>
      </c>
      <c r="K42" s="14" t="s">
        <v>31</v>
      </c>
      <c r="L42" s="14" t="s">
        <v>35</v>
      </c>
      <c r="M42" s="15"/>
      <c r="N42" s="10" t="s">
        <v>34</v>
      </c>
      <c r="O42" s="15"/>
      <c r="P42" s="10" t="s">
        <v>34</v>
      </c>
      <c r="Q42" s="15"/>
      <c r="R42" s="1"/>
    </row>
    <row r="43" spans="1:18" ht="18.75">
      <c r="A43" s="17" t="s">
        <v>71</v>
      </c>
      <c r="B43" s="17" t="s">
        <v>72</v>
      </c>
      <c r="C43" s="17">
        <v>59</v>
      </c>
      <c r="D43" s="17">
        <f>+G43*H2</f>
        <v>1.7893456953542393E+30</v>
      </c>
      <c r="E43" s="17">
        <f>+D43/E2</f>
        <v>0.8996207618673904</v>
      </c>
      <c r="F43" s="17">
        <f>+H2/(G43*L43)</f>
        <v>9.151482537035154</v>
      </c>
      <c r="G43" s="17">
        <f>+K44*L44*L44</f>
        <v>751825922417.7476</v>
      </c>
      <c r="H43" s="17">
        <f>+G43/A2/B2</f>
        <v>799.8545172360148</v>
      </c>
      <c r="I43" s="17" t="s">
        <v>39</v>
      </c>
      <c r="J43" s="1" t="s">
        <v>51</v>
      </c>
      <c r="K43">
        <f>+L43*B2</f>
        <v>2173447.1780411853</v>
      </c>
      <c r="L43" s="17">
        <f>SQRT(R43)</f>
        <v>345914.05303685786</v>
      </c>
      <c r="M43" s="1" t="s">
        <v>65</v>
      </c>
      <c r="N43" s="1" t="s">
        <v>47</v>
      </c>
      <c r="O43" s="1" t="s">
        <v>43</v>
      </c>
      <c r="P43" s="1" t="s">
        <v>43</v>
      </c>
      <c r="Q43" s="1" t="s">
        <v>62</v>
      </c>
      <c r="R43">
        <f>+G43/B2</f>
        <v>119656532088.38611</v>
      </c>
    </row>
    <row r="44" spans="7:17" ht="18.75">
      <c r="G44">
        <f>+K44*L44*L44</f>
        <v>751825922417.7476</v>
      </c>
      <c r="I44" s="17" t="s">
        <v>40</v>
      </c>
      <c r="J44">
        <v>2.77</v>
      </c>
      <c r="K44">
        <f>+J44*A2*B2</f>
        <v>2603670742.89168</v>
      </c>
      <c r="L44" s="17">
        <f>+K44/M44</f>
        <v>16.9928262336347</v>
      </c>
      <c r="M44">
        <f>+N44*C2</f>
        <v>153221760</v>
      </c>
      <c r="N44">
        <v>1773.4</v>
      </c>
      <c r="O44">
        <f>+N44/D2</f>
        <v>4.855304585900068</v>
      </c>
      <c r="P44">
        <f>+F2/4.64</f>
        <v>4.092672413793104E+26</v>
      </c>
      <c r="Q44" s="17">
        <f>+P44/H2</f>
        <v>171961025.7896262</v>
      </c>
    </row>
    <row r="45" spans="7:17" ht="18.75">
      <c r="G45">
        <f>+K45*L45*L45</f>
        <v>751381721893.8411</v>
      </c>
      <c r="I45" s="17" t="s">
        <v>73</v>
      </c>
      <c r="J45">
        <v>6.855</v>
      </c>
      <c r="K45">
        <f>+J45*A2*B2</f>
        <v>6443380123.65432</v>
      </c>
      <c r="L45" s="17">
        <f>+K45/M45</f>
        <v>10.798748745814025</v>
      </c>
      <c r="M45">
        <f>+N45*C2</f>
        <v>596678400</v>
      </c>
      <c r="N45">
        <v>6906</v>
      </c>
      <c r="O45">
        <f>+N45/D2</f>
        <v>18.90759753593429</v>
      </c>
      <c r="P45">
        <f>+F2/2.1</f>
        <v>9.042857142857143E+26</v>
      </c>
      <c r="Q45" s="17">
        <f>+P45/H2</f>
        <v>379951980.7923169</v>
      </c>
    </row>
    <row r="46" spans="9:18" ht="18.75">
      <c r="I46" s="17" t="s">
        <v>41</v>
      </c>
      <c r="J46" s="17">
        <f>+K46/A2/B2</f>
        <v>2.3122926351615694</v>
      </c>
      <c r="K46">
        <f>+K43*1000</f>
        <v>2173447178.0411854</v>
      </c>
      <c r="L46" s="17">
        <f>SQRT(R46)</f>
        <v>18.598764825569944</v>
      </c>
      <c r="M46">
        <f>+K46/L46</f>
        <v>116859759.1520211</v>
      </c>
      <c r="N46">
        <f>+M46/C2</f>
        <v>1352.543508703948</v>
      </c>
      <c r="O46" s="3">
        <f>+N46/D2</f>
        <v>3.703062309935518</v>
      </c>
      <c r="P46" s="1" t="s">
        <v>43</v>
      </c>
      <c r="Q46" s="1" t="s">
        <v>74</v>
      </c>
      <c r="R46">
        <f>+G43/K46</f>
        <v>345.9140530368578</v>
      </c>
    </row>
    <row r="47" spans="1:18" ht="18.75">
      <c r="A47" s="9" t="s">
        <v>10</v>
      </c>
      <c r="B47" s="9" t="s">
        <v>11</v>
      </c>
      <c r="C47" s="9" t="s">
        <v>12</v>
      </c>
      <c r="D47" s="9" t="s">
        <v>13</v>
      </c>
      <c r="E47" s="9" t="s">
        <v>14</v>
      </c>
      <c r="F47" s="9" t="s">
        <v>15</v>
      </c>
      <c r="G47" s="9" t="s">
        <v>16</v>
      </c>
      <c r="H47" s="9" t="s">
        <v>17</v>
      </c>
      <c r="I47" s="14" t="s">
        <v>18</v>
      </c>
      <c r="J47" s="14" t="s">
        <v>19</v>
      </c>
      <c r="K47" s="14" t="s">
        <v>20</v>
      </c>
      <c r="L47" s="14" t="s">
        <v>21</v>
      </c>
      <c r="M47" s="14" t="s">
        <v>22</v>
      </c>
      <c r="N47" s="14" t="s">
        <v>23</v>
      </c>
      <c r="O47" s="14" t="s">
        <v>24</v>
      </c>
      <c r="P47" s="14" t="s">
        <v>25</v>
      </c>
      <c r="Q47" s="14" t="s">
        <v>26</v>
      </c>
      <c r="R47" s="13" t="s">
        <v>27</v>
      </c>
    </row>
    <row r="48" spans="1:18" ht="18.75">
      <c r="A48" s="11"/>
      <c r="B48" s="12"/>
      <c r="C48" s="11" t="s">
        <v>28</v>
      </c>
      <c r="D48" s="12" t="s">
        <v>29</v>
      </c>
      <c r="E48" s="12"/>
      <c r="F48" s="11" t="s">
        <v>30</v>
      </c>
      <c r="G48" s="11" t="s">
        <v>31</v>
      </c>
      <c r="H48" s="11" t="s">
        <v>32</v>
      </c>
      <c r="I48" s="14" t="s">
        <v>33</v>
      </c>
      <c r="J48" s="10" t="s">
        <v>34</v>
      </c>
      <c r="K48" s="14" t="s">
        <v>31</v>
      </c>
      <c r="L48" s="14" t="s">
        <v>35</v>
      </c>
      <c r="M48" s="15"/>
      <c r="N48" s="10" t="s">
        <v>34</v>
      </c>
      <c r="O48" s="15"/>
      <c r="P48" s="10" t="s">
        <v>34</v>
      </c>
      <c r="Q48" s="15"/>
      <c r="R48" s="1"/>
    </row>
    <row r="49" spans="1:18" ht="18.75">
      <c r="A49" s="17" t="s">
        <v>75</v>
      </c>
      <c r="B49" s="17" t="s">
        <v>76</v>
      </c>
      <c r="C49" s="17">
        <v>12.4</v>
      </c>
      <c r="D49" s="17">
        <f>+G49*H2</f>
        <v>2.4180547670028327E+30</v>
      </c>
      <c r="E49" s="17">
        <f>+D49/E2</f>
        <v>1.2157138094534101</v>
      </c>
      <c r="F49" s="17">
        <f>+H2/(G49*L49)</f>
        <v>5.825505746740557</v>
      </c>
      <c r="G49" s="17">
        <f>+K50*L50*L50</f>
        <v>1015989397900.3499</v>
      </c>
      <c r="H49" s="17">
        <f>+G49/A2/B2</f>
        <v>1080.89344240907</v>
      </c>
      <c r="I49" s="17" t="s">
        <v>39</v>
      </c>
      <c r="J49" s="1" t="s">
        <v>47</v>
      </c>
      <c r="K49">
        <f>+L49*B2</f>
        <v>2526591.495451427</v>
      </c>
      <c r="L49" s="17">
        <f>SQRT(R49)</f>
        <v>402118.58534686576</v>
      </c>
      <c r="M49" s="1" t="s">
        <v>79</v>
      </c>
      <c r="N49" s="1" t="s">
        <v>44</v>
      </c>
      <c r="O49" s="1" t="s">
        <v>44</v>
      </c>
      <c r="P49" s="1" t="s">
        <v>43</v>
      </c>
      <c r="Q49" s="1" t="s">
        <v>43</v>
      </c>
      <c r="R49">
        <f>+G49/B2</f>
        <v>161699356681.36456</v>
      </c>
    </row>
    <row r="50" spans="1:17" ht="18.75">
      <c r="A50" s="17" t="s">
        <v>77</v>
      </c>
      <c r="I50" s="17" t="s">
        <v>78</v>
      </c>
      <c r="J50">
        <v>23</v>
      </c>
      <c r="K50">
        <f>+J50*A2*B2</f>
        <v>21618926746.032</v>
      </c>
      <c r="L50" s="17">
        <f>+K50/M50</f>
        <v>6.855316700289194</v>
      </c>
      <c r="M50">
        <f>+N50*C2</f>
        <v>3153600000</v>
      </c>
      <c r="N50">
        <v>36500</v>
      </c>
      <c r="O50">
        <f>+N50/D2</f>
        <v>99.9315537303217</v>
      </c>
      <c r="P50">
        <f>+F2*2.5</f>
        <v>4.7475E+27</v>
      </c>
      <c r="Q50" s="17">
        <f>+P50/H2</f>
        <v>1994747899.159664</v>
      </c>
    </row>
    <row r="51" spans="9:18" ht="18.75">
      <c r="I51" s="17" t="s">
        <v>41</v>
      </c>
      <c r="J51" s="17">
        <f>+K51/A2/B2</f>
        <v>2.6879967298121676</v>
      </c>
      <c r="K51">
        <f>+K49*1000</f>
        <v>2526591495.451427</v>
      </c>
      <c r="L51" s="17">
        <f>SQRT(R51)</f>
        <v>20.052894687472573</v>
      </c>
      <c r="M51">
        <f>+K51/L51</f>
        <v>125996347.90032768</v>
      </c>
      <c r="N51">
        <f>+M51/C2</f>
        <v>1458.2910636612</v>
      </c>
      <c r="O51" s="3">
        <f>+N51/D2</f>
        <v>3.9925833365125256</v>
      </c>
      <c r="P51" s="1" t="s">
        <v>42</v>
      </c>
      <c r="Q51" s="1" t="s">
        <v>65</v>
      </c>
      <c r="R51">
        <f>+G49/K51</f>
        <v>402.11858534686576</v>
      </c>
    </row>
    <row r="52" spans="1:18" ht="18.75">
      <c r="A52" s="9" t="s">
        <v>10</v>
      </c>
      <c r="B52" s="9" t="s">
        <v>11</v>
      </c>
      <c r="C52" s="9" t="s">
        <v>12</v>
      </c>
      <c r="D52" s="9" t="s">
        <v>13</v>
      </c>
      <c r="E52" s="9" t="s">
        <v>14</v>
      </c>
      <c r="F52" s="9" t="s">
        <v>15</v>
      </c>
      <c r="G52" s="9" t="s">
        <v>16</v>
      </c>
      <c r="H52" s="9" t="s">
        <v>17</v>
      </c>
      <c r="I52" s="14" t="s">
        <v>18</v>
      </c>
      <c r="J52" s="14" t="s">
        <v>19</v>
      </c>
      <c r="K52" s="14" t="s">
        <v>20</v>
      </c>
      <c r="L52" s="14" t="s">
        <v>21</v>
      </c>
      <c r="M52" s="14" t="s">
        <v>22</v>
      </c>
      <c r="N52" s="14" t="s">
        <v>23</v>
      </c>
      <c r="O52" s="14" t="s">
        <v>24</v>
      </c>
      <c r="P52" s="14" t="s">
        <v>25</v>
      </c>
      <c r="Q52" s="14" t="s">
        <v>26</v>
      </c>
      <c r="R52" s="13" t="s">
        <v>27</v>
      </c>
    </row>
    <row r="53" spans="1:18" ht="18.75">
      <c r="A53" s="11"/>
      <c r="B53" s="12"/>
      <c r="C53" s="11" t="s">
        <v>28</v>
      </c>
      <c r="D53" s="12" t="s">
        <v>29</v>
      </c>
      <c r="E53" s="12"/>
      <c r="F53" s="11" t="s">
        <v>30</v>
      </c>
      <c r="G53" s="11" t="s">
        <v>31</v>
      </c>
      <c r="H53" s="11" t="s">
        <v>32</v>
      </c>
      <c r="I53" s="14" t="s">
        <v>33</v>
      </c>
      <c r="J53" s="10" t="s">
        <v>34</v>
      </c>
      <c r="K53" s="14" t="s">
        <v>31</v>
      </c>
      <c r="L53" s="14" t="s">
        <v>35</v>
      </c>
      <c r="M53" s="15"/>
      <c r="N53" s="10" t="s">
        <v>34</v>
      </c>
      <c r="O53" s="15"/>
      <c r="P53" s="10" t="s">
        <v>34</v>
      </c>
      <c r="Q53" s="15"/>
      <c r="R53" s="1"/>
    </row>
    <row r="54" spans="1:18" ht="18.75">
      <c r="A54" s="17" t="s">
        <v>80</v>
      </c>
      <c r="B54" s="17" t="s">
        <v>76</v>
      </c>
      <c r="C54" s="17">
        <v>41.96</v>
      </c>
      <c r="D54" s="17">
        <f>+G54*H2</f>
        <v>2.1810445152760497E+30</v>
      </c>
      <c r="E54" s="17">
        <f>+D54/E2</f>
        <v>1.0965533007923831</v>
      </c>
      <c r="F54" s="17">
        <f>+H2/(G54*L54)</f>
        <v>6.8004247630069585</v>
      </c>
      <c r="G54" s="17">
        <f>+K55*L55*L55</f>
        <v>916405258519.3486</v>
      </c>
      <c r="H54" s="17">
        <f>+G54/A2/B2</f>
        <v>974.9476092662005</v>
      </c>
      <c r="I54" s="17" t="s">
        <v>39</v>
      </c>
      <c r="J54" s="1" t="s">
        <v>42</v>
      </c>
      <c r="K54">
        <f>+L54*B2</f>
        <v>2399574.445673393</v>
      </c>
      <c r="L54" s="17">
        <f>SQRT(R54)</f>
        <v>381903.24129001034</v>
      </c>
      <c r="M54" s="1" t="s">
        <v>60</v>
      </c>
      <c r="N54" s="1" t="s">
        <v>47</v>
      </c>
      <c r="O54" s="1" t="s">
        <v>63</v>
      </c>
      <c r="P54" s="1" t="s">
        <v>51</v>
      </c>
      <c r="Q54" s="1" t="s">
        <v>62</v>
      </c>
      <c r="R54">
        <f>+G54/B2</f>
        <v>145850085707.81586</v>
      </c>
    </row>
    <row r="55" spans="9:17" ht="18.75">
      <c r="I55" s="17" t="s">
        <v>40</v>
      </c>
      <c r="J55">
        <v>1.32</v>
      </c>
      <c r="K55">
        <f>+J55*A2*B2</f>
        <v>1240738404.55488</v>
      </c>
      <c r="L55" s="17">
        <f>+K55/M55</f>
        <v>27.177135126545544</v>
      </c>
      <c r="M55">
        <f>+N55*C2</f>
        <v>45653760</v>
      </c>
      <c r="N55">
        <v>528.4</v>
      </c>
      <c r="O55">
        <f>+N55/D2</f>
        <v>1.4466803559206023</v>
      </c>
      <c r="P55">
        <f>+F2/1.21</f>
        <v>1.5694214876033058E+27</v>
      </c>
      <c r="Q55" s="17">
        <f>+P55/H2</f>
        <v>659420793.1106327</v>
      </c>
    </row>
    <row r="56" spans="9:18" ht="18.75">
      <c r="I56" s="17" t="s">
        <v>41</v>
      </c>
      <c r="J56" s="17">
        <f>+K56/A2/B2</f>
        <v>2.552865500625179</v>
      </c>
      <c r="K56">
        <f>+K54*1000</f>
        <v>2399574445.6733932</v>
      </c>
      <c r="L56" s="17">
        <f>SQRT(R56)</f>
        <v>19.542344825788188</v>
      </c>
      <c r="M56">
        <f>+K56/L56</f>
        <v>122788461.00939235</v>
      </c>
      <c r="N56">
        <f>+M56/C2</f>
        <v>1421.1627431642632</v>
      </c>
      <c r="O56" s="3">
        <f>+N56/D2</f>
        <v>3.8909315350150946</v>
      </c>
      <c r="P56" s="1" t="s">
        <v>70</v>
      </c>
      <c r="Q56" s="1" t="s">
        <v>45</v>
      </c>
      <c r="R56">
        <f>+G54/K56</f>
        <v>381.9032412900103</v>
      </c>
    </row>
    <row r="57" spans="1:18" ht="18.75">
      <c r="A57" s="9" t="s">
        <v>10</v>
      </c>
      <c r="B57" s="9" t="s">
        <v>11</v>
      </c>
      <c r="C57" s="9" t="s">
        <v>12</v>
      </c>
      <c r="D57" s="9" t="s">
        <v>13</v>
      </c>
      <c r="E57" s="9" t="s">
        <v>14</v>
      </c>
      <c r="F57" s="9" t="s">
        <v>15</v>
      </c>
      <c r="G57" s="9" t="s">
        <v>16</v>
      </c>
      <c r="H57" s="9" t="s">
        <v>17</v>
      </c>
      <c r="I57" s="14" t="s">
        <v>18</v>
      </c>
      <c r="J57" s="14" t="s">
        <v>19</v>
      </c>
      <c r="K57" s="14" t="s">
        <v>20</v>
      </c>
      <c r="L57" s="14" t="s">
        <v>21</v>
      </c>
      <c r="M57" s="14" t="s">
        <v>22</v>
      </c>
      <c r="N57" s="14" t="s">
        <v>23</v>
      </c>
      <c r="O57" s="14" t="s">
        <v>24</v>
      </c>
      <c r="P57" s="14" t="s">
        <v>25</v>
      </c>
      <c r="Q57" s="14" t="s">
        <v>26</v>
      </c>
      <c r="R57" s="13" t="s">
        <v>27</v>
      </c>
    </row>
    <row r="58" spans="1:18" ht="18.75">
      <c r="A58" s="11"/>
      <c r="B58" s="12"/>
      <c r="C58" s="11" t="s">
        <v>28</v>
      </c>
      <c r="D58" s="12" t="s">
        <v>29</v>
      </c>
      <c r="E58" s="12"/>
      <c r="F58" s="11" t="s">
        <v>30</v>
      </c>
      <c r="G58" s="11" t="s">
        <v>31</v>
      </c>
      <c r="H58" s="11" t="s">
        <v>32</v>
      </c>
      <c r="I58" s="14" t="s">
        <v>33</v>
      </c>
      <c r="J58" s="10" t="s">
        <v>34</v>
      </c>
      <c r="K58" s="14" t="s">
        <v>31</v>
      </c>
      <c r="L58" s="14" t="s">
        <v>35</v>
      </c>
      <c r="M58" s="15"/>
      <c r="N58" s="10" t="s">
        <v>34</v>
      </c>
      <c r="O58" s="15"/>
      <c r="P58" s="10" t="s">
        <v>34</v>
      </c>
      <c r="Q58" s="15"/>
      <c r="R58" s="1"/>
    </row>
    <row r="59" spans="1:18" ht="18.75">
      <c r="A59" s="17" t="s">
        <v>81</v>
      </c>
      <c r="B59" s="17" t="s">
        <v>82</v>
      </c>
      <c r="C59" s="17">
        <v>88.76</v>
      </c>
      <c r="D59" s="17">
        <f>+G59*H2</f>
        <v>2.0946046210706404E+30</v>
      </c>
      <c r="E59" s="17">
        <f>+D59/E2</f>
        <v>1.0530943293467272</v>
      </c>
      <c r="F59" s="17">
        <f>+H2/(G59*L59)</f>
        <v>7.225697042555752</v>
      </c>
      <c r="G59" s="17">
        <f>+K60*L60*L60</f>
        <v>880085975239.7649</v>
      </c>
      <c r="H59" s="17">
        <f>+G59/A2/B2</f>
        <v>936.3081557334878</v>
      </c>
      <c r="I59" s="17" t="s">
        <v>39</v>
      </c>
      <c r="J59" s="1" t="s">
        <v>65</v>
      </c>
      <c r="K59">
        <f>+L59*B2</f>
        <v>2351543.3654573527</v>
      </c>
      <c r="L59" s="17">
        <f>SQRT(R59)</f>
        <v>374258.87532743707</v>
      </c>
      <c r="M59" s="1" t="s">
        <v>63</v>
      </c>
      <c r="N59" s="1" t="s">
        <v>43</v>
      </c>
      <c r="O59" s="1" t="s">
        <v>62</v>
      </c>
      <c r="P59" s="1" t="s">
        <v>43</v>
      </c>
      <c r="Q59" s="1" t="s">
        <v>51</v>
      </c>
      <c r="R59">
        <f>+G59/B2</f>
        <v>140069705761.35806</v>
      </c>
    </row>
    <row r="60" spans="9:17" ht="18.75">
      <c r="I60" s="17" t="s">
        <v>40</v>
      </c>
      <c r="J60">
        <v>0.82</v>
      </c>
      <c r="K60">
        <f>+J60*A2*B2</f>
        <v>770761736.16288</v>
      </c>
      <c r="L60" s="17">
        <f>+K60/M60</f>
        <v>33.79111146898148</v>
      </c>
      <c r="M60">
        <f>+N60*C2</f>
        <v>22809600</v>
      </c>
      <c r="N60">
        <v>264</v>
      </c>
      <c r="O60">
        <f>+N60/D2</f>
        <v>0.7227926078028748</v>
      </c>
      <c r="P60">
        <f>+F2/1.01</f>
        <v>1.8801980198019803E+27</v>
      </c>
      <c r="Q60" s="17">
        <f>+P60/H2</f>
        <v>789999167.9840254</v>
      </c>
    </row>
    <row r="61" spans="9:18" ht="18.75">
      <c r="I61" s="17" t="s">
        <v>41</v>
      </c>
      <c r="J61" s="17">
        <f>+K61/A2/B2</f>
        <v>2.5017660701147486</v>
      </c>
      <c r="K61">
        <f>+K59*1000</f>
        <v>2351543365.4573526</v>
      </c>
      <c r="L61" s="17">
        <f>SQRT(R61)</f>
        <v>19.34577151026645</v>
      </c>
      <c r="M61">
        <f>+K61/L61</f>
        <v>121553351.55330618</v>
      </c>
      <c r="N61">
        <f>+M61/C2</f>
        <v>1406.8674948299326</v>
      </c>
      <c r="O61" s="3">
        <f>+N61/D2</f>
        <v>3.8517932781106987</v>
      </c>
      <c r="P61" s="1" t="s">
        <v>44</v>
      </c>
      <c r="Q61" s="1" t="s">
        <v>47</v>
      </c>
      <c r="R61">
        <f>+G59/K61</f>
        <v>374.25887532743695</v>
      </c>
    </row>
    <row r="62" spans="1:18" ht="18.75">
      <c r="A62" s="9" t="s">
        <v>10</v>
      </c>
      <c r="B62" s="9" t="s">
        <v>11</v>
      </c>
      <c r="C62" s="9" t="s">
        <v>12</v>
      </c>
      <c r="D62" s="9" t="s">
        <v>13</v>
      </c>
      <c r="E62" s="9" t="s">
        <v>14</v>
      </c>
      <c r="F62" s="9" t="s">
        <v>15</v>
      </c>
      <c r="G62" s="9" t="s">
        <v>16</v>
      </c>
      <c r="H62" s="9" t="s">
        <v>17</v>
      </c>
      <c r="I62" s="14" t="s">
        <v>18</v>
      </c>
      <c r="J62" s="14" t="s">
        <v>19</v>
      </c>
      <c r="K62" s="14" t="s">
        <v>20</v>
      </c>
      <c r="L62" s="14" t="s">
        <v>21</v>
      </c>
      <c r="M62" s="14" t="s">
        <v>22</v>
      </c>
      <c r="N62" s="14" t="s">
        <v>23</v>
      </c>
      <c r="O62" s="14" t="s">
        <v>24</v>
      </c>
      <c r="P62" s="14" t="s">
        <v>25</v>
      </c>
      <c r="Q62" s="14" t="s">
        <v>26</v>
      </c>
      <c r="R62" s="13" t="s">
        <v>27</v>
      </c>
    </row>
    <row r="63" spans="1:18" ht="18.75">
      <c r="A63" s="11"/>
      <c r="B63" s="12"/>
      <c r="C63" s="11" t="s">
        <v>28</v>
      </c>
      <c r="D63" s="12" t="s">
        <v>29</v>
      </c>
      <c r="E63" s="12"/>
      <c r="F63" s="11" t="s">
        <v>30</v>
      </c>
      <c r="G63" s="11" t="s">
        <v>31</v>
      </c>
      <c r="H63" s="11" t="s">
        <v>32</v>
      </c>
      <c r="I63" s="14" t="s">
        <v>33</v>
      </c>
      <c r="J63" s="10" t="s">
        <v>34</v>
      </c>
      <c r="K63" s="14" t="s">
        <v>31</v>
      </c>
      <c r="L63" s="14" t="s">
        <v>35</v>
      </c>
      <c r="M63" s="15"/>
      <c r="N63" s="10" t="s">
        <v>34</v>
      </c>
      <c r="O63" s="15"/>
      <c r="P63" s="10" t="s">
        <v>34</v>
      </c>
      <c r="Q63" s="15"/>
      <c r="R63" s="1"/>
    </row>
    <row r="64" spans="1:18" ht="18.75">
      <c r="A64" s="17" t="s">
        <v>83</v>
      </c>
      <c r="B64" s="17" t="s">
        <v>84</v>
      </c>
      <c r="C64" s="17">
        <v>206</v>
      </c>
      <c r="D64" s="17">
        <f>+G64*H2</f>
        <v>2.377280478388897E+30</v>
      </c>
      <c r="E64" s="17">
        <f>+D64/E2</f>
        <v>1.195213915730969</v>
      </c>
      <c r="F64" s="17">
        <f>+H2/(G64*L64)</f>
        <v>5.976022149943062</v>
      </c>
      <c r="G64" s="17">
        <f>+K65*L65*L65</f>
        <v>998857343860.8811</v>
      </c>
      <c r="H64" s="17">
        <f>+G64/A2/B2</f>
        <v>1062.666948210874</v>
      </c>
      <c r="I64" s="17" t="s">
        <v>39</v>
      </c>
      <c r="J64" s="1" t="s">
        <v>43</v>
      </c>
      <c r="K64">
        <f>+L64*B2</f>
        <v>2505198.687319369</v>
      </c>
      <c r="L64" s="17">
        <f>SQRT(R64)</f>
        <v>398713.82214784966</v>
      </c>
      <c r="M64" s="1" t="s">
        <v>44</v>
      </c>
      <c r="N64" s="1" t="s">
        <v>85</v>
      </c>
      <c r="O64" s="1" t="s">
        <v>79</v>
      </c>
      <c r="P64" s="1" t="s">
        <v>63</v>
      </c>
      <c r="Q64" s="1" t="s">
        <v>86</v>
      </c>
      <c r="R64">
        <f>+G64/B2</f>
        <v>158972711971.74707</v>
      </c>
    </row>
    <row r="65" spans="9:17" ht="18.75">
      <c r="I65" s="17" t="s">
        <v>40</v>
      </c>
      <c r="J65">
        <v>0.053</v>
      </c>
      <c r="K65">
        <f>+J65*A2*B2</f>
        <v>49817526.849552</v>
      </c>
      <c r="L65" s="17">
        <f>+K65/M65</f>
        <v>141.59915175439315</v>
      </c>
      <c r="M65">
        <f>+N65*C2</f>
        <v>351820.8</v>
      </c>
      <c r="N65">
        <v>4.072</v>
      </c>
      <c r="O65">
        <f>+N65/D2</f>
        <v>0.011148528405201917</v>
      </c>
      <c r="P65">
        <f>+F2*1.33</f>
        <v>2.5256700000000004E+27</v>
      </c>
      <c r="Q65" s="17">
        <f>+P65/H2</f>
        <v>1061205882.3529413</v>
      </c>
    </row>
    <row r="66" spans="9:18" ht="18.75">
      <c r="I66" s="17" t="s">
        <v>41</v>
      </c>
      <c r="J66" s="17">
        <f>+K66/A2/B2</f>
        <v>2.665237293471155</v>
      </c>
      <c r="K66">
        <f>+K64*1000</f>
        <v>2505198687.319369</v>
      </c>
      <c r="L66" s="17">
        <f>SQRT(R66)</f>
        <v>19.96781966434617</v>
      </c>
      <c r="M66">
        <f>+K66/L66</f>
        <v>125461804.51501988</v>
      </c>
      <c r="N66">
        <f>+M66/C2</f>
        <v>1452.1042189238412</v>
      </c>
      <c r="O66" s="3">
        <f>+N66/D2</f>
        <v>3.975644678778484</v>
      </c>
      <c r="P66" s="1" t="s">
        <v>65</v>
      </c>
      <c r="Q66" s="1" t="s">
        <v>46</v>
      </c>
      <c r="R66">
        <f>+G64/K66</f>
        <v>398.7138221478496</v>
      </c>
    </row>
    <row r="67" spans="1:18" ht="18.75">
      <c r="A67" s="9" t="s">
        <v>10</v>
      </c>
      <c r="B67" s="9" t="s">
        <v>11</v>
      </c>
      <c r="C67" s="9" t="s">
        <v>12</v>
      </c>
      <c r="D67" s="9" t="s">
        <v>13</v>
      </c>
      <c r="E67" s="9" t="s">
        <v>14</v>
      </c>
      <c r="F67" s="9" t="s">
        <v>15</v>
      </c>
      <c r="G67" s="9" t="s">
        <v>16</v>
      </c>
      <c r="H67" s="9" t="s">
        <v>17</v>
      </c>
      <c r="I67" s="14" t="s">
        <v>18</v>
      </c>
      <c r="J67" s="14" t="s">
        <v>19</v>
      </c>
      <c r="K67" s="14" t="s">
        <v>20</v>
      </c>
      <c r="L67" s="14" t="s">
        <v>21</v>
      </c>
      <c r="M67" s="14" t="s">
        <v>22</v>
      </c>
      <c r="N67" s="14" t="s">
        <v>23</v>
      </c>
      <c r="O67" s="14" t="s">
        <v>24</v>
      </c>
      <c r="P67" s="14" t="s">
        <v>25</v>
      </c>
      <c r="Q67" s="14" t="s">
        <v>26</v>
      </c>
      <c r="R67" s="13" t="s">
        <v>27</v>
      </c>
    </row>
    <row r="68" spans="1:18" ht="18.75">
      <c r="A68" s="11"/>
      <c r="B68" s="12"/>
      <c r="C68" s="11" t="s">
        <v>28</v>
      </c>
      <c r="D68" s="12" t="s">
        <v>29</v>
      </c>
      <c r="E68" s="12"/>
      <c r="F68" s="11" t="s">
        <v>30</v>
      </c>
      <c r="G68" s="11" t="s">
        <v>31</v>
      </c>
      <c r="H68" s="11" t="s">
        <v>32</v>
      </c>
      <c r="I68" s="14" t="s">
        <v>33</v>
      </c>
      <c r="J68" s="10" t="s">
        <v>34</v>
      </c>
      <c r="K68" s="14" t="s">
        <v>31</v>
      </c>
      <c r="L68" s="14" t="s">
        <v>35</v>
      </c>
      <c r="M68" s="15"/>
      <c r="N68" s="10" t="s">
        <v>34</v>
      </c>
      <c r="O68" s="15"/>
      <c r="P68" s="10" t="s">
        <v>34</v>
      </c>
      <c r="Q68" s="15"/>
      <c r="R68" s="1"/>
    </row>
    <row r="69" spans="1:18" ht="18.75">
      <c r="A69" s="17" t="s">
        <v>87</v>
      </c>
      <c r="B69" s="17" t="s">
        <v>72</v>
      </c>
      <c r="C69" s="17">
        <v>58.91</v>
      </c>
      <c r="D69" s="17">
        <f>+G69*H2</f>
        <v>1.7409818703347316E+30</v>
      </c>
      <c r="E69" s="17">
        <f>+D69/E2</f>
        <v>0.8753051132904633</v>
      </c>
      <c r="F69" s="17">
        <f>+H2/(G69*L69)</f>
        <v>9.535455893778568</v>
      </c>
      <c r="G69" s="17">
        <f>+K70*L70*L70</f>
        <v>731504987535.6016</v>
      </c>
      <c r="H69" s="17">
        <f>+G69/A2/B2</f>
        <v>778.2354281951982</v>
      </c>
      <c r="I69" s="17" t="s">
        <v>39</v>
      </c>
      <c r="J69" s="1" t="s">
        <v>42</v>
      </c>
      <c r="K69">
        <f>+L69*B2</f>
        <v>2143873.1626856313</v>
      </c>
      <c r="L69" s="17">
        <f>SQRT(R69)</f>
        <v>341207.21331258456</v>
      </c>
      <c r="M69" s="1" t="s">
        <v>86</v>
      </c>
      <c r="N69" s="1" t="s">
        <v>56</v>
      </c>
      <c r="O69" s="1" t="s">
        <v>62</v>
      </c>
      <c r="P69" s="1" t="s">
        <v>63</v>
      </c>
      <c r="Q69" s="1" t="s">
        <v>62</v>
      </c>
      <c r="R69">
        <f>+G69/B2</f>
        <v>116422362416.5396</v>
      </c>
    </row>
    <row r="70" spans="9:17" ht="18.75">
      <c r="I70" s="17" t="s">
        <v>40</v>
      </c>
      <c r="J70">
        <v>9.21</v>
      </c>
      <c r="K70">
        <f>+J70*A2*B2</f>
        <v>8656970231.78064</v>
      </c>
      <c r="L70" s="17">
        <f>+K70/M70</f>
        <v>9.19233162565902</v>
      </c>
      <c r="M70">
        <f>+N70*C2</f>
        <v>941760000</v>
      </c>
      <c r="N70">
        <v>10900</v>
      </c>
      <c r="O70">
        <f>+N70/D2</f>
        <v>29.842573579739906</v>
      </c>
      <c r="P70">
        <f>+F2*2.03</f>
        <v>3.85497E+27</v>
      </c>
      <c r="Q70" s="17">
        <f>+P70/H2</f>
        <v>1619735294.117647</v>
      </c>
    </row>
    <row r="71" spans="9:18" ht="18.75">
      <c r="I71" s="17" t="s">
        <v>41</v>
      </c>
      <c r="J71" s="17">
        <f>+K71/A2/B2</f>
        <v>2.280829354806887</v>
      </c>
      <c r="K71">
        <f>+K69*1000</f>
        <v>2143873162.6856313</v>
      </c>
      <c r="L71" s="17">
        <f>SQRT(R71)</f>
        <v>18.47179507553569</v>
      </c>
      <c r="M71">
        <f>+K71/L71</f>
        <v>116061982.81860583</v>
      </c>
      <c r="N71">
        <f>+M71/C2</f>
        <v>1343.3099863264563</v>
      </c>
      <c r="O71" s="3">
        <f>+N71/D2</f>
        <v>3.6777823034263006</v>
      </c>
      <c r="P71" s="1" t="s">
        <v>43</v>
      </c>
      <c r="Q71" s="1" t="s">
        <v>65</v>
      </c>
      <c r="R71">
        <f>+G69/K71</f>
        <v>341.2072133125846</v>
      </c>
    </row>
    <row r="72" spans="1:18" ht="18.75">
      <c r="A72" s="9" t="s">
        <v>10</v>
      </c>
      <c r="B72" s="9" t="s">
        <v>11</v>
      </c>
      <c r="C72" s="9" t="s">
        <v>12</v>
      </c>
      <c r="D72" s="9" t="s">
        <v>13</v>
      </c>
      <c r="E72" s="9" t="s">
        <v>14</v>
      </c>
      <c r="F72" s="9" t="s">
        <v>15</v>
      </c>
      <c r="G72" s="9" t="s">
        <v>16</v>
      </c>
      <c r="H72" s="9" t="s">
        <v>17</v>
      </c>
      <c r="I72" s="14" t="s">
        <v>18</v>
      </c>
      <c r="J72" s="14" t="s">
        <v>19</v>
      </c>
      <c r="K72" s="14" t="s">
        <v>20</v>
      </c>
      <c r="L72" s="14" t="s">
        <v>21</v>
      </c>
      <c r="M72" s="14" t="s">
        <v>22</v>
      </c>
      <c r="N72" s="14" t="s">
        <v>23</v>
      </c>
      <c r="O72" s="14" t="s">
        <v>24</v>
      </c>
      <c r="P72" s="14" t="s">
        <v>25</v>
      </c>
      <c r="Q72" s="14" t="s">
        <v>26</v>
      </c>
      <c r="R72" s="13" t="s">
        <v>27</v>
      </c>
    </row>
    <row r="73" spans="1:18" ht="18.75">
      <c r="A73" s="11"/>
      <c r="B73" s="12"/>
      <c r="C73" s="11" t="s">
        <v>28</v>
      </c>
      <c r="D73" s="11" t="s">
        <v>29</v>
      </c>
      <c r="E73" s="11"/>
      <c r="F73" s="11" t="s">
        <v>30</v>
      </c>
      <c r="G73" s="11" t="s">
        <v>31</v>
      </c>
      <c r="H73" s="11" t="s">
        <v>32</v>
      </c>
      <c r="I73" s="14" t="s">
        <v>33</v>
      </c>
      <c r="J73" s="10" t="s">
        <v>34</v>
      </c>
      <c r="K73" s="14" t="s">
        <v>31</v>
      </c>
      <c r="L73" s="14" t="s">
        <v>35</v>
      </c>
      <c r="M73" s="15"/>
      <c r="N73" s="10" t="s">
        <v>34</v>
      </c>
      <c r="O73" s="15"/>
      <c r="P73" s="10" t="s">
        <v>34</v>
      </c>
      <c r="Q73" s="15"/>
      <c r="R73" s="1"/>
    </row>
    <row r="74" spans="1:18" ht="18.75">
      <c r="A74" s="17" t="s">
        <v>88</v>
      </c>
      <c r="B74" s="17" t="s">
        <v>72</v>
      </c>
      <c r="C74" s="17">
        <v>43.4</v>
      </c>
      <c r="D74" s="17">
        <f>+G74*H2</f>
        <v>1.7245590219145946E+30</v>
      </c>
      <c r="E74" s="17">
        <f>+D74/E2</f>
        <v>0.8670482764779259</v>
      </c>
      <c r="F74" s="17">
        <f>+H2/(G74*L74)</f>
        <v>9.671987821204153</v>
      </c>
      <c r="G74" s="17">
        <f>+K75*L75*L75</f>
        <v>724604631056.5524</v>
      </c>
      <c r="H74" s="17">
        <f>+G74/A2/B2</f>
        <v>770.894259001993</v>
      </c>
      <c r="I74" s="17" t="s">
        <v>39</v>
      </c>
      <c r="J74" s="1" t="s">
        <v>60</v>
      </c>
      <c r="K74">
        <f>+L74*B2</f>
        <v>2133737.52318661</v>
      </c>
      <c r="L74" s="17">
        <f>SQRT(R74)</f>
        <v>339594.07995712536</v>
      </c>
      <c r="M74" s="1" t="s">
        <v>44</v>
      </c>
      <c r="N74" s="1" t="s">
        <v>89</v>
      </c>
      <c r="O74" s="1" t="s">
        <v>51</v>
      </c>
      <c r="P74" s="1" t="s">
        <v>62</v>
      </c>
      <c r="Q74" s="1" t="s">
        <v>62</v>
      </c>
      <c r="R74">
        <f>+G74/B2</f>
        <v>115324139141.92647</v>
      </c>
    </row>
    <row r="75" spans="7:17" ht="18.75">
      <c r="G75">
        <f>+K75*L75*L75</f>
        <v>724604631056.5524</v>
      </c>
      <c r="I75" s="17" t="s">
        <v>40</v>
      </c>
      <c r="J75">
        <v>0.628</v>
      </c>
      <c r="K75">
        <f>+J75*A2*B2</f>
        <v>590290695.500352</v>
      </c>
      <c r="L75" s="17">
        <f>+K75/M75</f>
        <v>35.036247358757834</v>
      </c>
      <c r="M75">
        <f>+N75*C2</f>
        <v>16848000</v>
      </c>
      <c r="N75">
        <v>195</v>
      </c>
      <c r="O75">
        <f>+N75/D2</f>
        <v>0.5338809034907598</v>
      </c>
      <c r="P75">
        <f>+F2*0.89</f>
        <v>1.69011E+27</v>
      </c>
      <c r="Q75" s="17">
        <f>+P75/H2</f>
        <v>710130252.1008403</v>
      </c>
    </row>
    <row r="76" spans="7:17" ht="18.75">
      <c r="G76">
        <f>+K76*L76*L76</f>
        <v>724607222075.2069</v>
      </c>
      <c r="I76" s="17" t="s">
        <v>73</v>
      </c>
      <c r="J76">
        <v>1.22354</v>
      </c>
      <c r="K76">
        <f>+J76*A2*B2</f>
        <v>1150070505.6886954</v>
      </c>
      <c r="L76" s="17">
        <f>+K76/M76</f>
        <v>25.100888597489707</v>
      </c>
      <c r="M76">
        <f>+N76*C2</f>
        <v>45817919.99999999</v>
      </c>
      <c r="N76">
        <v>530.3</v>
      </c>
      <c r="O76">
        <f>+N76/D2</f>
        <v>1.451882272416153</v>
      </c>
      <c r="P76">
        <f>+F2*0.504</f>
        <v>9.57096E+26</v>
      </c>
      <c r="Q76" s="17">
        <f>+P76/H2</f>
        <v>402141176.4705882</v>
      </c>
    </row>
    <row r="77" spans="9:18" ht="18.75">
      <c r="I77" s="17" t="s">
        <v>41</v>
      </c>
      <c r="J77" s="17">
        <f>+K77/A2/B2</f>
        <v>2.270046224302026</v>
      </c>
      <c r="K77">
        <f>+K74*1000</f>
        <v>2133737523.18661</v>
      </c>
      <c r="L77" s="17">
        <f>SQRT(R77)</f>
        <v>18.428078574749062</v>
      </c>
      <c r="M77">
        <f>+K77/L77</f>
        <v>115787303.30086328</v>
      </c>
      <c r="N77">
        <f>+M77/C2</f>
        <v>1340.130825241473</v>
      </c>
      <c r="O77" s="3">
        <f>+N77/D2</f>
        <v>3.6690782347473596</v>
      </c>
      <c r="P77" s="1" t="s">
        <v>46</v>
      </c>
      <c r="Q77" s="1" t="s">
        <v>42</v>
      </c>
      <c r="R77">
        <f>+G74/K77</f>
        <v>339.5940799571254</v>
      </c>
    </row>
    <row r="78" spans="1:18" ht="18.75">
      <c r="A78" s="9" t="s">
        <v>10</v>
      </c>
      <c r="B78" s="9" t="s">
        <v>11</v>
      </c>
      <c r="C78" s="9" t="s">
        <v>12</v>
      </c>
      <c r="D78" s="9" t="s">
        <v>13</v>
      </c>
      <c r="E78" s="9" t="s">
        <v>14</v>
      </c>
      <c r="F78" s="9" t="s">
        <v>15</v>
      </c>
      <c r="G78" s="9" t="s">
        <v>16</v>
      </c>
      <c r="H78" s="9" t="s">
        <v>17</v>
      </c>
      <c r="I78" s="14" t="s">
        <v>18</v>
      </c>
      <c r="J78" s="14" t="s">
        <v>19</v>
      </c>
      <c r="K78" s="14" t="s">
        <v>20</v>
      </c>
      <c r="L78" s="14" t="s">
        <v>21</v>
      </c>
      <c r="M78" s="14" t="s">
        <v>22</v>
      </c>
      <c r="N78" s="14" t="s">
        <v>23</v>
      </c>
      <c r="O78" s="14" t="s">
        <v>24</v>
      </c>
      <c r="P78" s="14" t="s">
        <v>25</v>
      </c>
      <c r="Q78" s="14" t="s">
        <v>26</v>
      </c>
      <c r="R78" s="13" t="s">
        <v>27</v>
      </c>
    </row>
    <row r="79" spans="1:18" ht="18.75">
      <c r="A79" s="11"/>
      <c r="B79" s="12"/>
      <c r="C79" s="11" t="s">
        <v>28</v>
      </c>
      <c r="D79" s="11" t="s">
        <v>29</v>
      </c>
      <c r="E79" s="11"/>
      <c r="F79" s="11" t="s">
        <v>30</v>
      </c>
      <c r="G79" s="11" t="s">
        <v>31</v>
      </c>
      <c r="H79" s="11" t="s">
        <v>32</v>
      </c>
      <c r="I79" s="14" t="s">
        <v>33</v>
      </c>
      <c r="J79" s="10" t="s">
        <v>34</v>
      </c>
      <c r="K79" s="14" t="s">
        <v>31</v>
      </c>
      <c r="L79" s="14" t="s">
        <v>35</v>
      </c>
      <c r="M79" s="15"/>
      <c r="N79" s="10" t="s">
        <v>34</v>
      </c>
      <c r="O79" s="15"/>
      <c r="P79" s="10" t="s">
        <v>34</v>
      </c>
      <c r="Q79" s="15"/>
      <c r="R79" s="1"/>
    </row>
    <row r="80" spans="1:18" ht="18.75">
      <c r="A80" s="17" t="s">
        <v>90</v>
      </c>
      <c r="B80" s="17" t="s">
        <v>91</v>
      </c>
      <c r="C80" s="17">
        <v>223</v>
      </c>
      <c r="D80" s="17">
        <f>+G80*H2</f>
        <v>2.7350512965651585E+30</v>
      </c>
      <c r="E80" s="17">
        <f>+D80/E2</f>
        <v>1.375088635779366</v>
      </c>
      <c r="F80" s="17">
        <f>+H2/(G80*L80)</f>
        <v>4.842667158157674</v>
      </c>
      <c r="G80" s="17">
        <f>+K81*L81*L81</f>
        <v>1149181217044.1843</v>
      </c>
      <c r="H80" s="17">
        <f>+G80/A2/B2</f>
        <v>1222.5939012845536</v>
      </c>
      <c r="I80" s="17" t="s">
        <v>39</v>
      </c>
      <c r="J80" s="1" t="s">
        <v>44</v>
      </c>
      <c r="K80">
        <f>+L80*B2</f>
        <v>2687105.398552878</v>
      </c>
      <c r="L80" s="17">
        <f>SQRT(R80)</f>
        <v>427665.1067215555</v>
      </c>
      <c r="M80" s="1" t="s">
        <v>46</v>
      </c>
      <c r="N80" s="1" t="s">
        <v>45</v>
      </c>
      <c r="O80" s="1" t="s">
        <v>45</v>
      </c>
      <c r="P80" s="1" t="s">
        <v>47</v>
      </c>
      <c r="Q80" s="1" t="s">
        <v>45</v>
      </c>
      <c r="R80">
        <f>+G80/B2</f>
        <v>182897443507.15945</v>
      </c>
    </row>
    <row r="81" spans="9:17" ht="18.75">
      <c r="I81" s="17" t="s">
        <v>40</v>
      </c>
      <c r="J81">
        <v>1.2</v>
      </c>
      <c r="K81">
        <f>+J81*A2*B2</f>
        <v>1127944004.1408</v>
      </c>
      <c r="L81" s="17">
        <f>+K81/M81</f>
        <v>31.919089132844334</v>
      </c>
      <c r="M81">
        <f>+N81*C2</f>
        <v>35337600</v>
      </c>
      <c r="N81">
        <v>409</v>
      </c>
      <c r="O81">
        <f>+N81/D2</f>
        <v>1.1197809719370295</v>
      </c>
      <c r="P81">
        <f>+F2*1.8</f>
        <v>3.4182E+27</v>
      </c>
      <c r="Q81" s="17">
        <f>+P81/H2</f>
        <v>1436218487.394958</v>
      </c>
    </row>
    <row r="82" spans="9:18" ht="18.75">
      <c r="I82" s="17" t="s">
        <v>41</v>
      </c>
      <c r="J82" s="17">
        <f>+K82/A2/B2</f>
        <v>2.8587646784112337</v>
      </c>
      <c r="K82">
        <f>+K80*1000</f>
        <v>2687105398.552878</v>
      </c>
      <c r="L82" s="17">
        <f>SQRT(R82)</f>
        <v>20.6800654428741</v>
      </c>
      <c r="M82">
        <f>+K82/L82</f>
        <v>129936987.19066656</v>
      </c>
      <c r="N82">
        <f>+M82/C2</f>
        <v>1503.9003147067888</v>
      </c>
      <c r="O82" s="3">
        <f>+N82/D2</f>
        <v>4.117454660388196</v>
      </c>
      <c r="P82" s="1" t="s">
        <v>43</v>
      </c>
      <c r="Q82" s="1" t="s">
        <v>42</v>
      </c>
      <c r="R82">
        <f>+G80/K82</f>
        <v>427.66510672155545</v>
      </c>
    </row>
    <row r="83" spans="1:18" ht="18.75">
      <c r="A83" s="9" t="s">
        <v>10</v>
      </c>
      <c r="B83" s="9" t="s">
        <v>11</v>
      </c>
      <c r="C83" s="9" t="s">
        <v>12</v>
      </c>
      <c r="D83" s="9" t="s">
        <v>13</v>
      </c>
      <c r="E83" s="9" t="s">
        <v>14</v>
      </c>
      <c r="F83" s="9" t="s">
        <v>15</v>
      </c>
      <c r="G83" s="9" t="s">
        <v>16</v>
      </c>
      <c r="H83" s="9" t="s">
        <v>17</v>
      </c>
      <c r="I83" s="14" t="s">
        <v>18</v>
      </c>
      <c r="J83" s="14" t="s">
        <v>19</v>
      </c>
      <c r="K83" s="14" t="s">
        <v>20</v>
      </c>
      <c r="L83" s="14" t="s">
        <v>21</v>
      </c>
      <c r="M83" s="14" t="s">
        <v>22</v>
      </c>
      <c r="N83" s="14" t="s">
        <v>23</v>
      </c>
      <c r="O83" s="14" t="s">
        <v>24</v>
      </c>
      <c r="P83" s="14" t="s">
        <v>25</v>
      </c>
      <c r="Q83" s="14" t="s">
        <v>26</v>
      </c>
      <c r="R83" s="13" t="s">
        <v>27</v>
      </c>
    </row>
    <row r="84" spans="1:18" ht="18.75">
      <c r="A84" s="11"/>
      <c r="B84" s="12"/>
      <c r="C84" s="11" t="s">
        <v>28</v>
      </c>
      <c r="D84" s="11" t="s">
        <v>29</v>
      </c>
      <c r="E84" s="11"/>
      <c r="F84" s="11" t="s">
        <v>30</v>
      </c>
      <c r="G84" s="11" t="s">
        <v>31</v>
      </c>
      <c r="H84" s="11" t="s">
        <v>32</v>
      </c>
      <c r="I84" s="14" t="s">
        <v>33</v>
      </c>
      <c r="J84" s="10" t="s">
        <v>34</v>
      </c>
      <c r="K84" s="14" t="s">
        <v>31</v>
      </c>
      <c r="L84" s="14" t="s">
        <v>35</v>
      </c>
      <c r="M84" s="15"/>
      <c r="N84" s="10" t="s">
        <v>34</v>
      </c>
      <c r="O84" s="15"/>
      <c r="P84" s="10" t="s">
        <v>34</v>
      </c>
      <c r="Q84" s="15"/>
      <c r="R84" s="1"/>
    </row>
    <row r="85" spans="1:18" ht="18.75">
      <c r="A85" s="17" t="s">
        <v>92</v>
      </c>
      <c r="B85" s="17" t="s">
        <v>84</v>
      </c>
      <c r="C85" s="17">
        <v>160</v>
      </c>
      <c r="D85" s="17">
        <f>+G85*H2</f>
        <v>1.9877052627502984E+30</v>
      </c>
      <c r="E85" s="17">
        <f>+D85/E2</f>
        <v>0.9993490511565101</v>
      </c>
      <c r="F85" s="17">
        <f>+H2/(G85*L85)</f>
        <v>7.816365393136579</v>
      </c>
      <c r="G85" s="17">
        <f>+K86*L86*L86</f>
        <v>835170278466.512</v>
      </c>
      <c r="H85" s="17">
        <f>+G85/A2/B2</f>
        <v>888.5231274607762</v>
      </c>
      <c r="I85" s="17" t="s">
        <v>39</v>
      </c>
      <c r="J85" s="1" t="s">
        <v>56</v>
      </c>
      <c r="K85">
        <f>+L85*B2</f>
        <v>2290751.381896514</v>
      </c>
      <c r="L85" s="17">
        <f>SQRT(R85)</f>
        <v>364583.55326848006</v>
      </c>
      <c r="M85" s="1" t="s">
        <v>47</v>
      </c>
      <c r="N85" s="1" t="s">
        <v>47</v>
      </c>
      <c r="O85" s="1" t="s">
        <v>63</v>
      </c>
      <c r="P85" s="1" t="s">
        <v>47</v>
      </c>
      <c r="Q85" s="1" t="s">
        <v>43</v>
      </c>
      <c r="R85">
        <f>+G85/B2</f>
        <v>132921167313.87064</v>
      </c>
    </row>
    <row r="86" spans="9:17" ht="18.75">
      <c r="I86" s="17" t="s">
        <v>40</v>
      </c>
      <c r="J86">
        <v>0.99</v>
      </c>
      <c r="K86">
        <f>+J86*A2*B2</f>
        <v>930553803.4161601</v>
      </c>
      <c r="L86" s="17">
        <f>+K86/M86</f>
        <v>29.958272789769413</v>
      </c>
      <c r="M86">
        <f>+N86*C2</f>
        <v>31061664</v>
      </c>
      <c r="N86">
        <v>359.51</v>
      </c>
      <c r="O86">
        <f>+N86/D2</f>
        <v>0.9842847364818618</v>
      </c>
      <c r="P86">
        <f>+F2*10.45</f>
        <v>1.984455E+28</v>
      </c>
      <c r="Q86" s="17">
        <f>+P86/H2</f>
        <v>8338046218.487395</v>
      </c>
    </row>
    <row r="87" spans="9:18" ht="18.75">
      <c r="I87" s="17" t="s">
        <v>41</v>
      </c>
      <c r="J87" s="17">
        <f>+K87/A2/B2</f>
        <v>2.4370905365730144</v>
      </c>
      <c r="K87">
        <f>+K85*1000</f>
        <v>2290751381.896514</v>
      </c>
      <c r="L87" s="17">
        <f>SQRT(R87)</f>
        <v>19.094071154902508</v>
      </c>
      <c r="M87">
        <f>+K87/L87</f>
        <v>119971867.88048346</v>
      </c>
      <c r="N87">
        <f>+M87/C2</f>
        <v>1388.5632856537438</v>
      </c>
      <c r="O87" s="3">
        <f>+N87/D2</f>
        <v>3.801679084609839</v>
      </c>
      <c r="P87" s="1" t="s">
        <v>46</v>
      </c>
      <c r="Q87" s="1" t="s">
        <v>47</v>
      </c>
      <c r="R87">
        <f>+G85/K87</f>
        <v>364.58355326848005</v>
      </c>
    </row>
    <row r="88" spans="1:18" ht="18.75">
      <c r="A88" s="9" t="s">
        <v>10</v>
      </c>
      <c r="B88" s="9" t="s">
        <v>11</v>
      </c>
      <c r="C88" s="9" t="s">
        <v>12</v>
      </c>
      <c r="D88" s="9" t="s">
        <v>13</v>
      </c>
      <c r="E88" s="9" t="s">
        <v>14</v>
      </c>
      <c r="F88" s="9" t="s">
        <v>15</v>
      </c>
      <c r="G88" s="9" t="s">
        <v>16</v>
      </c>
      <c r="H88" s="9" t="s">
        <v>17</v>
      </c>
      <c r="I88" s="14" t="s">
        <v>18</v>
      </c>
      <c r="J88" s="14" t="s">
        <v>19</v>
      </c>
      <c r="K88" s="14" t="s">
        <v>20</v>
      </c>
      <c r="L88" s="14" t="s">
        <v>21</v>
      </c>
      <c r="M88" s="14" t="s">
        <v>22</v>
      </c>
      <c r="N88" s="14" t="s">
        <v>23</v>
      </c>
      <c r="O88" s="14" t="s">
        <v>24</v>
      </c>
      <c r="P88" s="14" t="s">
        <v>25</v>
      </c>
      <c r="Q88" s="14" t="s">
        <v>26</v>
      </c>
      <c r="R88" s="13" t="s">
        <v>27</v>
      </c>
    </row>
    <row r="89" spans="1:18" ht="18.75">
      <c r="A89" s="11"/>
      <c r="B89" s="12"/>
      <c r="C89" s="11" t="s">
        <v>28</v>
      </c>
      <c r="D89" s="11" t="s">
        <v>29</v>
      </c>
      <c r="E89" s="11"/>
      <c r="F89" s="11" t="s">
        <v>30</v>
      </c>
      <c r="G89" s="11" t="s">
        <v>31</v>
      </c>
      <c r="H89" s="11" t="s">
        <v>32</v>
      </c>
      <c r="I89" s="14" t="s">
        <v>33</v>
      </c>
      <c r="J89" s="10" t="s">
        <v>34</v>
      </c>
      <c r="K89" s="14" t="s">
        <v>31</v>
      </c>
      <c r="L89" s="14" t="s">
        <v>35</v>
      </c>
      <c r="M89" s="15"/>
      <c r="N89" s="10" t="s">
        <v>34</v>
      </c>
      <c r="O89" s="15"/>
      <c r="P89" s="10" t="s">
        <v>34</v>
      </c>
      <c r="Q89" s="15"/>
      <c r="R89" s="1"/>
    </row>
    <row r="90" spans="1:18" ht="18.75">
      <c r="A90" s="17" t="s">
        <v>93</v>
      </c>
      <c r="B90" s="17" t="s">
        <v>91</v>
      </c>
      <c r="C90" s="17">
        <v>14.8</v>
      </c>
      <c r="D90" s="17">
        <f>+G90*H2</f>
        <v>7.12874391258867E+29</v>
      </c>
      <c r="E90" s="17">
        <f>+D90/E2</f>
        <v>0.3584084420607677</v>
      </c>
      <c r="F90" s="17">
        <f>+H2/(G90*L90)</f>
        <v>36.39261926996933</v>
      </c>
      <c r="G90" s="17">
        <f>+K91*L91*L91</f>
        <v>299527055150.7844</v>
      </c>
      <c r="H90" s="17">
        <f>+G90/A2/B2</f>
        <v>318.66162226265425</v>
      </c>
      <c r="I90" s="17" t="s">
        <v>39</v>
      </c>
      <c r="J90" s="1" t="s">
        <v>42</v>
      </c>
      <c r="K90">
        <f>+L90*B2</f>
        <v>1371855.8207491809</v>
      </c>
      <c r="L90" s="17">
        <f>SQRT(R90)</f>
        <v>218337.1245144482</v>
      </c>
      <c r="M90" s="1" t="s">
        <v>51</v>
      </c>
      <c r="N90" s="1" t="s">
        <v>62</v>
      </c>
      <c r="O90" s="1" t="s">
        <v>51</v>
      </c>
      <c r="P90" s="1" t="s">
        <v>46</v>
      </c>
      <c r="Q90" s="1" t="s">
        <v>43</v>
      </c>
      <c r="R90">
        <f>+G90/B2</f>
        <v>47671099941.237656</v>
      </c>
    </row>
    <row r="91" spans="9:17" ht="18.75">
      <c r="I91" s="17" t="s">
        <v>40</v>
      </c>
      <c r="J91">
        <v>0.039</v>
      </c>
      <c r="K91">
        <f>+J91*A2*B2</f>
        <v>36658180.134576</v>
      </c>
      <c r="L91" s="17">
        <f>+K91/M91</f>
        <v>90.3925374533072</v>
      </c>
      <c r="M91">
        <f>+N91*C2</f>
        <v>405544.32</v>
      </c>
      <c r="N91">
        <v>4.6938</v>
      </c>
      <c r="O91">
        <f>+N91/D2</f>
        <v>0.012850924024640659</v>
      </c>
      <c r="P91">
        <f>+F2*0.037</f>
        <v>7.0263E+25</v>
      </c>
      <c r="Q91" s="17">
        <f>+P91/H2</f>
        <v>29522268.907563027</v>
      </c>
    </row>
    <row r="92" spans="9:18" ht="18.75">
      <c r="I92" s="17" t="s">
        <v>41</v>
      </c>
      <c r="J92" s="17">
        <f>+K92/A2/B2</f>
        <v>1.4594935376716807</v>
      </c>
      <c r="K92">
        <f>+K90*1000</f>
        <v>1371855820.7491808</v>
      </c>
      <c r="L92" s="17">
        <f>SQRT(R92)</f>
        <v>14.77623512652828</v>
      </c>
      <c r="M92">
        <f>+K92/L92</f>
        <v>92842040.54700248</v>
      </c>
      <c r="N92">
        <f>+M92/C2</f>
        <v>1074.5606544791954</v>
      </c>
      <c r="O92" s="3">
        <f>+N92/D2</f>
        <v>2.941986733687051</v>
      </c>
      <c r="P92" s="1" t="s">
        <v>45</v>
      </c>
      <c r="Q92" s="1" t="s">
        <v>46</v>
      </c>
      <c r="R92">
        <f>+G90/K92</f>
        <v>218.3371245144482</v>
      </c>
    </row>
    <row r="93" spans="1:18" ht="18.75">
      <c r="A93" s="9" t="s">
        <v>10</v>
      </c>
      <c r="B93" s="9" t="s">
        <v>11</v>
      </c>
      <c r="C93" s="9" t="s">
        <v>12</v>
      </c>
      <c r="D93" s="9" t="s">
        <v>13</v>
      </c>
      <c r="E93" s="9" t="s">
        <v>14</v>
      </c>
      <c r="F93" s="9" t="s">
        <v>15</v>
      </c>
      <c r="G93" s="9" t="s">
        <v>16</v>
      </c>
      <c r="H93" s="9" t="s">
        <v>17</v>
      </c>
      <c r="I93" s="14" t="s">
        <v>18</v>
      </c>
      <c r="J93" s="14" t="s">
        <v>19</v>
      </c>
      <c r="K93" s="14" t="s">
        <v>20</v>
      </c>
      <c r="L93" s="14" t="s">
        <v>21</v>
      </c>
      <c r="M93" s="14" t="s">
        <v>22</v>
      </c>
      <c r="N93" s="14" t="s">
        <v>23</v>
      </c>
      <c r="O93" s="14" t="s">
        <v>24</v>
      </c>
      <c r="P93" s="14" t="s">
        <v>25</v>
      </c>
      <c r="Q93" s="14" t="s">
        <v>26</v>
      </c>
      <c r="R93" s="13" t="s">
        <v>27</v>
      </c>
    </row>
    <row r="94" spans="1:18" ht="18.75">
      <c r="A94" s="11"/>
      <c r="B94" s="12"/>
      <c r="C94" s="11" t="s">
        <v>28</v>
      </c>
      <c r="D94" s="11" t="s">
        <v>29</v>
      </c>
      <c r="E94" s="11"/>
      <c r="F94" s="11" t="s">
        <v>30</v>
      </c>
      <c r="G94" s="11" t="s">
        <v>31</v>
      </c>
      <c r="H94" s="11" t="s">
        <v>32</v>
      </c>
      <c r="I94" s="14" t="s">
        <v>33</v>
      </c>
      <c r="J94" s="10" t="s">
        <v>34</v>
      </c>
      <c r="K94" s="14" t="s">
        <v>31</v>
      </c>
      <c r="L94" s="14" t="s">
        <v>35</v>
      </c>
      <c r="M94" s="15"/>
      <c r="N94" s="10" t="s">
        <v>34</v>
      </c>
      <c r="O94" s="15"/>
      <c r="P94" s="10" t="s">
        <v>34</v>
      </c>
      <c r="Q94" s="15"/>
      <c r="R94" s="1"/>
    </row>
    <row r="95" spans="1:18" ht="18.75">
      <c r="A95" s="17" t="s">
        <v>94</v>
      </c>
      <c r="B95" s="17" t="s">
        <v>76</v>
      </c>
      <c r="C95" s="17">
        <v>172</v>
      </c>
      <c r="D95" s="17">
        <f>+G95*H2</f>
        <v>2.178735506183921E+30</v>
      </c>
      <c r="E95" s="17">
        <f>+D95/E2</f>
        <v>1.0953924113544098</v>
      </c>
      <c r="F95" s="17">
        <f>+H2/(G95*L95)</f>
        <v>6.811238192708391</v>
      </c>
      <c r="G95" s="17">
        <f>+K96*L96*L96</f>
        <v>915435086631.8997</v>
      </c>
      <c r="H95" s="17">
        <f>+G95/A2/B2</f>
        <v>973.915460275945</v>
      </c>
      <c r="I95" s="17" t="s">
        <v>39</v>
      </c>
      <c r="J95" s="1" t="s">
        <v>60</v>
      </c>
      <c r="K95">
        <f>+L95*B2</f>
        <v>2398303.929097718</v>
      </c>
      <c r="L95" s="17">
        <f>SQRT(R95)</f>
        <v>381701.03276956297</v>
      </c>
      <c r="M95" s="1" t="s">
        <v>45</v>
      </c>
      <c r="N95" s="1" t="s">
        <v>52</v>
      </c>
      <c r="O95" s="1" t="s">
        <v>52</v>
      </c>
      <c r="P95" s="1" t="s">
        <v>43</v>
      </c>
      <c r="Q95" s="1" t="s">
        <v>79</v>
      </c>
      <c r="R95">
        <f>+G95/B2</f>
        <v>145695678417.35098</v>
      </c>
    </row>
    <row r="96" spans="9:17" ht="18.75">
      <c r="I96" s="17" t="s">
        <v>40</v>
      </c>
      <c r="J96">
        <v>2</v>
      </c>
      <c r="K96">
        <f>+J96*A2*B2</f>
        <v>1879906673.568</v>
      </c>
      <c r="L96" s="17">
        <f>+K96/M96</f>
        <v>22.067118754789274</v>
      </c>
      <c r="M96">
        <f>+N96*C2</f>
        <v>85190400</v>
      </c>
      <c r="N96">
        <v>986</v>
      </c>
      <c r="O96">
        <f>+N96/D2</f>
        <v>2.6995208761122518</v>
      </c>
      <c r="P96">
        <f>+F2*1.7</f>
        <v>3.2283E+27</v>
      </c>
      <c r="Q96" s="17">
        <f>+P96/H2</f>
        <v>1356428571.4285712</v>
      </c>
    </row>
    <row r="97" spans="9:18" ht="18.75">
      <c r="I97" s="17" t="s">
        <v>41</v>
      </c>
      <c r="J97" s="17">
        <f>+K97/A2/B2</f>
        <v>2.5515138201470586</v>
      </c>
      <c r="K97">
        <f>+K95*1000</f>
        <v>2398303929.0977182</v>
      </c>
      <c r="L97" s="17">
        <f>SQRT(R97)</f>
        <v>19.537170541548818</v>
      </c>
      <c r="M97">
        <f>+K97/L97</f>
        <v>122755949.94665955</v>
      </c>
      <c r="N97">
        <f>+M97/C2</f>
        <v>1420.7864577159671</v>
      </c>
      <c r="O97" s="3">
        <f>+N97/D2</f>
        <v>3.8899013216042904</v>
      </c>
      <c r="P97" s="1" t="s">
        <v>47</v>
      </c>
      <c r="Q97" s="1" t="s">
        <v>44</v>
      </c>
      <c r="R97">
        <f>+G95/K97</f>
        <v>381.7010327695629</v>
      </c>
    </row>
    <row r="98" spans="1:18" ht="18.75">
      <c r="A98" s="9" t="s">
        <v>10</v>
      </c>
      <c r="B98" s="9" t="s">
        <v>11</v>
      </c>
      <c r="C98" s="9" t="s">
        <v>12</v>
      </c>
      <c r="D98" s="9" t="s">
        <v>13</v>
      </c>
      <c r="E98" s="9" t="s">
        <v>14</v>
      </c>
      <c r="F98" s="9" t="s">
        <v>15</v>
      </c>
      <c r="G98" s="9" t="s">
        <v>16</v>
      </c>
      <c r="H98" s="9" t="s">
        <v>17</v>
      </c>
      <c r="I98" s="14" t="s">
        <v>18</v>
      </c>
      <c r="J98" s="14" t="s">
        <v>19</v>
      </c>
      <c r="K98" s="14" t="s">
        <v>20</v>
      </c>
      <c r="L98" s="14" t="s">
        <v>21</v>
      </c>
      <c r="M98" s="14" t="s">
        <v>22</v>
      </c>
      <c r="N98" s="14" t="s">
        <v>23</v>
      </c>
      <c r="O98" s="14" t="s">
        <v>24</v>
      </c>
      <c r="P98" s="14" t="s">
        <v>25</v>
      </c>
      <c r="Q98" s="14" t="s">
        <v>26</v>
      </c>
      <c r="R98" s="13" t="s">
        <v>27</v>
      </c>
    </row>
    <row r="99" spans="1:18" ht="18.75">
      <c r="A99" s="11"/>
      <c r="B99" s="12"/>
      <c r="C99" s="11" t="s">
        <v>28</v>
      </c>
      <c r="D99" s="11" t="s">
        <v>29</v>
      </c>
      <c r="E99" s="11"/>
      <c r="F99" s="11" t="s">
        <v>30</v>
      </c>
      <c r="G99" s="11" t="s">
        <v>31</v>
      </c>
      <c r="H99" s="11" t="s">
        <v>32</v>
      </c>
      <c r="I99" s="14" t="s">
        <v>33</v>
      </c>
      <c r="J99" s="10" t="s">
        <v>34</v>
      </c>
      <c r="K99" s="14" t="s">
        <v>31</v>
      </c>
      <c r="L99" s="14" t="s">
        <v>35</v>
      </c>
      <c r="M99" s="15"/>
      <c r="N99" s="10" t="s">
        <v>34</v>
      </c>
      <c r="O99" s="15"/>
      <c r="P99" s="10" t="s">
        <v>34</v>
      </c>
      <c r="Q99" s="15"/>
      <c r="R99" s="1"/>
    </row>
    <row r="100" spans="1:18" ht="18.75">
      <c r="A100" s="17" t="s">
        <v>95</v>
      </c>
      <c r="B100" s="17" t="s">
        <v>91</v>
      </c>
      <c r="C100" s="17">
        <v>49.8</v>
      </c>
      <c r="D100" s="17">
        <f>+G100*H2</f>
        <v>2.1434101773778126E+30</v>
      </c>
      <c r="E100" s="17">
        <f>+D100/E2</f>
        <v>1.077632065046663</v>
      </c>
      <c r="F100" s="17">
        <f>+H2/(G100*L100)</f>
        <v>6.980313077936085</v>
      </c>
      <c r="G100" s="17">
        <f>+K101*L101*L101</f>
        <v>900592511503.2826</v>
      </c>
      <c r="H100" s="17">
        <f>+G100/A2/B2</f>
        <v>958.1247028545179</v>
      </c>
      <c r="I100" s="17" t="s">
        <v>39</v>
      </c>
      <c r="J100" s="1" t="s">
        <v>42</v>
      </c>
      <c r="K100">
        <f>+L100*B2</f>
        <v>2378781.803419016</v>
      </c>
      <c r="L100" s="17">
        <f>SQRT(R100)</f>
        <v>378593.9972337369</v>
      </c>
      <c r="M100" s="1" t="s">
        <v>46</v>
      </c>
      <c r="N100" s="1" t="s">
        <v>46</v>
      </c>
      <c r="O100" s="1" t="s">
        <v>60</v>
      </c>
      <c r="P100" s="1" t="s">
        <v>45</v>
      </c>
      <c r="Q100" s="1" t="s">
        <v>43</v>
      </c>
      <c r="R100">
        <f>+G100/B2</f>
        <v>143333414741.4188</v>
      </c>
    </row>
    <row r="101" spans="7:17" ht="18.75">
      <c r="G101">
        <f>+K101*L101*L101</f>
        <v>900592511503.2826</v>
      </c>
      <c r="I101" s="17" t="s">
        <v>96</v>
      </c>
      <c r="J101">
        <v>0.09094</v>
      </c>
      <c r="K101">
        <f>+J101*A2*B2</f>
        <v>85479356.44713695</v>
      </c>
      <c r="L101" s="17">
        <f>+K101/M101</f>
        <v>102.64399428582412</v>
      </c>
      <c r="M101">
        <f>+N101*C2</f>
        <v>832775.04</v>
      </c>
      <c r="N101">
        <v>9.6386</v>
      </c>
      <c r="O101">
        <f>+N101/D2</f>
        <v>0.026389048596851473</v>
      </c>
      <c r="P101">
        <f>+F2*0.03321</f>
        <v>6.3065790000000006E+25</v>
      </c>
      <c r="Q101" s="17">
        <f>+P101/H2</f>
        <v>26498231.092436977</v>
      </c>
    </row>
    <row r="102" spans="7:17" ht="18.75">
      <c r="G102">
        <f>+K102*L102*L102</f>
        <v>900598742616.4623</v>
      </c>
      <c r="I102" s="17" t="s">
        <v>97</v>
      </c>
      <c r="J102">
        <v>0.920805</v>
      </c>
      <c r="K102">
        <f>+J102*A2*B2</f>
        <v>865513732.2773911</v>
      </c>
      <c r="L102" s="17">
        <f>+K102/M102</f>
        <v>32.25735002256268</v>
      </c>
      <c r="M102">
        <f>+N102*C2</f>
        <v>26831520</v>
      </c>
      <c r="N102">
        <v>310.55</v>
      </c>
      <c r="O102">
        <f>+N102/D2</f>
        <v>0.8502395619438741</v>
      </c>
      <c r="P102">
        <f>+F2*0.5219</f>
        <v>9.910881E+26</v>
      </c>
      <c r="Q102" s="17">
        <f>+P102/H2</f>
        <v>416423571.42857146</v>
      </c>
    </row>
    <row r="103" spans="7:17" ht="18.75">
      <c r="G103">
        <f>+K103*L103*L103</f>
        <v>900535335168.741</v>
      </c>
      <c r="I103" s="17" t="s">
        <v>40</v>
      </c>
      <c r="J103">
        <v>1.4962</v>
      </c>
      <c r="K103">
        <f>+J103*A2*B2</f>
        <v>1406358182.4962206</v>
      </c>
      <c r="L103" s="17">
        <f>+K103/M103</f>
        <v>25.304770740600766</v>
      </c>
      <c r="M103">
        <f>+N103*C2</f>
        <v>55576800</v>
      </c>
      <c r="N103">
        <v>643.25</v>
      </c>
      <c r="O103">
        <f>+N103/D2</f>
        <v>1.7611225188227242</v>
      </c>
      <c r="P103">
        <f>+F2*1.676</f>
        <v>3.1827239999999997E+27</v>
      </c>
      <c r="Q103" s="17">
        <f>+P103/H2</f>
        <v>1337278991.5966384</v>
      </c>
    </row>
    <row r="104" spans="7:17" ht="18.75">
      <c r="G104">
        <f>+K104*L104*L104</f>
        <v>900580752211.1957</v>
      </c>
      <c r="I104" s="17" t="s">
        <v>73</v>
      </c>
      <c r="J104">
        <v>5.2317</v>
      </c>
      <c r="K104">
        <f>+J104*A2*B2</f>
        <v>4917553872.052853</v>
      </c>
      <c r="L104" s="17">
        <f>+K104/M104</f>
        <v>13.532772071517785</v>
      </c>
      <c r="M104">
        <f>+N104*C2</f>
        <v>363381120</v>
      </c>
      <c r="N104">
        <v>4205.8</v>
      </c>
      <c r="O104">
        <f>+N104/D2</f>
        <v>11.514852840520192</v>
      </c>
      <c r="P104">
        <f>+F2*1.814</f>
        <v>3.444786E+27</v>
      </c>
      <c r="Q104" s="17">
        <f>+P104/H2</f>
        <v>1447389075.6302521</v>
      </c>
    </row>
    <row r="105" spans="7:18" ht="18.75">
      <c r="G105">
        <f>+K105*L105*L105</f>
        <v>900592511503.2826</v>
      </c>
      <c r="I105" s="17" t="s">
        <v>41</v>
      </c>
      <c r="J105" s="17">
        <f>+K105/A2/B2</f>
        <v>2.530744570318661</v>
      </c>
      <c r="K105">
        <f>+K100*1000</f>
        <v>2378781803.419016</v>
      </c>
      <c r="L105" s="17">
        <f>SQRT(R105)</f>
        <v>19.45749205919758</v>
      </c>
      <c r="M105">
        <f>+K105/L105</f>
        <v>122255314.10635024</v>
      </c>
      <c r="N105">
        <f>+M105/C2</f>
        <v>1414.9920614160908</v>
      </c>
      <c r="O105" s="3">
        <f>+N105/D2</f>
        <v>3.874037129133719</v>
      </c>
      <c r="P105" s="1" t="s">
        <v>63</v>
      </c>
      <c r="Q105" s="1" t="s">
        <v>98</v>
      </c>
      <c r="R105">
        <f>+G100/K105</f>
        <v>378.5939972337369</v>
      </c>
    </row>
    <row r="106" spans="1:18" ht="18.75">
      <c r="A106" s="9" t="s">
        <v>10</v>
      </c>
      <c r="B106" s="9" t="s">
        <v>11</v>
      </c>
      <c r="C106" s="9" t="s">
        <v>12</v>
      </c>
      <c r="D106" s="9" t="s">
        <v>13</v>
      </c>
      <c r="E106" s="9" t="s">
        <v>14</v>
      </c>
      <c r="F106" s="9" t="s">
        <v>15</v>
      </c>
      <c r="G106" s="9" t="s">
        <v>16</v>
      </c>
      <c r="H106" s="9" t="s">
        <v>17</v>
      </c>
      <c r="I106" s="14" t="s">
        <v>18</v>
      </c>
      <c r="J106" s="14" t="s">
        <v>19</v>
      </c>
      <c r="K106" s="14" t="s">
        <v>20</v>
      </c>
      <c r="L106" s="14" t="s">
        <v>21</v>
      </c>
      <c r="M106" s="14" t="s">
        <v>22</v>
      </c>
      <c r="N106" s="14" t="s">
        <v>23</v>
      </c>
      <c r="O106" s="14" t="s">
        <v>24</v>
      </c>
      <c r="P106" s="14" t="s">
        <v>25</v>
      </c>
      <c r="Q106" s="14" t="s">
        <v>26</v>
      </c>
      <c r="R106" s="13" t="s">
        <v>27</v>
      </c>
    </row>
    <row r="107" spans="1:18" ht="18.75">
      <c r="A107" s="11"/>
      <c r="B107" s="12"/>
      <c r="C107" s="11" t="s">
        <v>28</v>
      </c>
      <c r="D107" s="11" t="s">
        <v>29</v>
      </c>
      <c r="E107" s="11"/>
      <c r="F107" s="11" t="s">
        <v>30</v>
      </c>
      <c r="G107" s="11" t="s">
        <v>31</v>
      </c>
      <c r="H107" s="11" t="s">
        <v>32</v>
      </c>
      <c r="I107" s="14" t="s">
        <v>33</v>
      </c>
      <c r="J107" s="10" t="s">
        <v>34</v>
      </c>
      <c r="K107" s="14" t="s">
        <v>31</v>
      </c>
      <c r="L107" s="14" t="s">
        <v>35</v>
      </c>
      <c r="M107" s="15"/>
      <c r="N107" s="10" t="s">
        <v>34</v>
      </c>
      <c r="O107" s="15"/>
      <c r="P107" s="10" t="s">
        <v>34</v>
      </c>
      <c r="Q107" s="15"/>
      <c r="R107" s="1"/>
    </row>
    <row r="108" spans="1:18" ht="18.75">
      <c r="A108" s="17" t="s">
        <v>99</v>
      </c>
      <c r="B108" s="17" t="s">
        <v>76</v>
      </c>
      <c r="C108" s="17">
        <v>9500</v>
      </c>
      <c r="D108" s="17">
        <f>+G108*H2</f>
        <v>1.836072700713339E+29</v>
      </c>
      <c r="E108" s="17">
        <f>+D108/E2</f>
        <v>0.09231134744662338</v>
      </c>
      <c r="F108" s="17">
        <f>+H2/(G108*L108)</f>
        <v>278.41845840129287</v>
      </c>
      <c r="G108" s="17">
        <f>+K109*L109*L109</f>
        <v>77145911794.6781</v>
      </c>
      <c r="H108" s="17">
        <f>+G108/A2/B2</f>
        <v>82.07419323455854</v>
      </c>
      <c r="I108" s="17" t="s">
        <v>39</v>
      </c>
      <c r="J108" s="1" t="s">
        <v>65</v>
      </c>
      <c r="K108">
        <f>+L108*B2</f>
        <v>696220.6496422822</v>
      </c>
      <c r="L108" s="17">
        <f>SQRT(R108)</f>
        <v>110806.69875895756</v>
      </c>
      <c r="M108" s="1" t="s">
        <v>46</v>
      </c>
      <c r="N108" s="1" t="s">
        <v>60</v>
      </c>
      <c r="O108" s="1" t="s">
        <v>52</v>
      </c>
      <c r="P108" s="1" t="s">
        <v>43</v>
      </c>
      <c r="Q108" s="1" t="s">
        <v>86</v>
      </c>
      <c r="R108">
        <f>+G108/B2</f>
        <v>12278124489.858368</v>
      </c>
    </row>
    <row r="109" spans="9:17" ht="18.75">
      <c r="I109" s="17" t="s">
        <v>40</v>
      </c>
      <c r="J109">
        <v>1.8</v>
      </c>
      <c r="K109">
        <f>+J109*A2*B2</f>
        <v>1691916006.2112</v>
      </c>
      <c r="L109" s="17">
        <f>+K109/M109</f>
        <v>6.752538338965517</v>
      </c>
      <c r="M109">
        <f>+N109*C2</f>
        <v>250560000</v>
      </c>
      <c r="N109">
        <v>2900</v>
      </c>
      <c r="O109">
        <f>+N109/D2</f>
        <v>7.939767282683094</v>
      </c>
      <c r="P109">
        <f>+F2*3.3</f>
        <v>6.2667E+27</v>
      </c>
      <c r="Q109" s="17">
        <f>+P109/H2</f>
        <v>2633067226.890756</v>
      </c>
    </row>
    <row r="110" spans="9:18" ht="18.75">
      <c r="I110" s="17" t="s">
        <v>41</v>
      </c>
      <c r="J110" s="17">
        <f>+K110/A2/B2</f>
        <v>0.7406970350510843</v>
      </c>
      <c r="K110">
        <f>+K108*1000</f>
        <v>696220649.6422821</v>
      </c>
      <c r="L110" s="17">
        <f>SQRT(R110)</f>
        <v>10.526476084566838</v>
      </c>
      <c r="M110">
        <f>+K110/L110</f>
        <v>66139954.53455034</v>
      </c>
      <c r="N110">
        <f>+M110/C2</f>
        <v>765.5087330387771</v>
      </c>
      <c r="O110" s="3">
        <f>+N110/D2</f>
        <v>2.0958486873067135</v>
      </c>
      <c r="P110" s="1" t="s">
        <v>52</v>
      </c>
      <c r="Q110" s="1" t="s">
        <v>100</v>
      </c>
      <c r="R110">
        <f>+G108/K110</f>
        <v>110.80669875895758</v>
      </c>
    </row>
    <row r="111" spans="1:18" ht="18.75">
      <c r="A111" s="9" t="s">
        <v>10</v>
      </c>
      <c r="B111" s="9" t="s">
        <v>11</v>
      </c>
      <c r="C111" s="9" t="s">
        <v>12</v>
      </c>
      <c r="D111" s="9" t="s">
        <v>13</v>
      </c>
      <c r="E111" s="9" t="s">
        <v>14</v>
      </c>
      <c r="F111" s="9" t="s">
        <v>15</v>
      </c>
      <c r="G111" s="9" t="s">
        <v>16</v>
      </c>
      <c r="H111" s="9" t="s">
        <v>17</v>
      </c>
      <c r="I111" s="14" t="s">
        <v>18</v>
      </c>
      <c r="J111" s="14" t="s">
        <v>19</v>
      </c>
      <c r="K111" s="14" t="s">
        <v>20</v>
      </c>
      <c r="L111" s="14" t="s">
        <v>21</v>
      </c>
      <c r="M111" s="14" t="s">
        <v>22</v>
      </c>
      <c r="N111" s="14" t="s">
        <v>23</v>
      </c>
      <c r="O111" s="14" t="s">
        <v>24</v>
      </c>
      <c r="P111" s="14" t="s">
        <v>25</v>
      </c>
      <c r="Q111" s="14" t="s">
        <v>26</v>
      </c>
      <c r="R111" s="13" t="s">
        <v>27</v>
      </c>
    </row>
    <row r="112" spans="1:18" ht="18.75">
      <c r="A112" s="11"/>
      <c r="B112" s="12"/>
      <c r="C112" s="11" t="s">
        <v>28</v>
      </c>
      <c r="D112" s="11" t="s">
        <v>29</v>
      </c>
      <c r="E112" s="11"/>
      <c r="F112" s="11" t="s">
        <v>30</v>
      </c>
      <c r="G112" s="11" t="s">
        <v>31</v>
      </c>
      <c r="H112" s="11" t="s">
        <v>32</v>
      </c>
      <c r="I112" s="14" t="s">
        <v>33</v>
      </c>
      <c r="J112" s="10" t="s">
        <v>34</v>
      </c>
      <c r="K112" s="14" t="s">
        <v>31</v>
      </c>
      <c r="L112" s="14" t="s">
        <v>35</v>
      </c>
      <c r="M112" s="15"/>
      <c r="N112" s="10" t="s">
        <v>34</v>
      </c>
      <c r="O112" s="15"/>
      <c r="P112" s="10" t="s">
        <v>34</v>
      </c>
      <c r="Q112" s="15"/>
      <c r="R112" s="1"/>
    </row>
    <row r="113" spans="1:18" ht="18.75">
      <c r="A113" s="17" t="s">
        <v>101</v>
      </c>
      <c r="B113" s="17" t="s">
        <v>76</v>
      </c>
      <c r="C113" s="17">
        <v>21500</v>
      </c>
      <c r="D113" s="17">
        <f>+G113*H2</f>
        <v>3.798851431299145E+29</v>
      </c>
      <c r="E113" s="17">
        <f>+D113/E2</f>
        <v>0.1909930332478203</v>
      </c>
      <c r="F113" s="17">
        <f>+H2/(G113*L113)</f>
        <v>93.55227883240977</v>
      </c>
      <c r="G113" s="17">
        <f>+K114*L114*L114</f>
        <v>159615606357.10693</v>
      </c>
      <c r="H113" s="17">
        <f>+G113/A2/B2</f>
        <v>169.8122663229466</v>
      </c>
      <c r="I113" s="17" t="s">
        <v>39</v>
      </c>
      <c r="J113" s="1" t="s">
        <v>56</v>
      </c>
      <c r="K113">
        <f>+L113*B2</f>
        <v>1001447.341532731</v>
      </c>
      <c r="L113" s="17">
        <f>SQRT(R113)</f>
        <v>159384.92193989226</v>
      </c>
      <c r="M113" s="1" t="s">
        <v>56</v>
      </c>
      <c r="N113" s="1" t="s">
        <v>60</v>
      </c>
      <c r="O113" s="1" t="s">
        <v>43</v>
      </c>
      <c r="P113" s="1" t="s">
        <v>51</v>
      </c>
      <c r="Q113" s="1" t="s">
        <v>43</v>
      </c>
      <c r="R113">
        <f>+G113/B2</f>
        <v>25403553341.785545</v>
      </c>
    </row>
    <row r="114" spans="9:17" ht="18.75">
      <c r="I114" s="17" t="s">
        <v>40</v>
      </c>
      <c r="J114">
        <v>2.6</v>
      </c>
      <c r="K114">
        <f>+J114*A2*B2</f>
        <v>2443878675.6384</v>
      </c>
      <c r="L114" s="17">
        <f>+K114/M114</f>
        <v>8.08160937711111</v>
      </c>
      <c r="M114">
        <f>+N114*C2</f>
        <v>302400000</v>
      </c>
      <c r="N114">
        <v>3500</v>
      </c>
      <c r="O114">
        <f>+N114/D2</f>
        <v>9.582477754962355</v>
      </c>
      <c r="P114">
        <f>+F2*0.018</f>
        <v>3.4181999999999997E+25</v>
      </c>
      <c r="Q114" s="17">
        <f>+P114/H2</f>
        <v>14362184.873949578</v>
      </c>
    </row>
    <row r="115" spans="9:18" ht="18.75">
      <c r="I115" s="17" t="s">
        <v>41</v>
      </c>
      <c r="J115" s="17">
        <f>+K115/A2/B2</f>
        <v>1.0654224016685012</v>
      </c>
      <c r="K115">
        <f>+K113*1000</f>
        <v>1001447341.5327309</v>
      </c>
      <c r="L115" s="17">
        <f>SQRT(R115)</f>
        <v>12.624774134212947</v>
      </c>
      <c r="M115">
        <f>+K115/L115</f>
        <v>79323980.84008677</v>
      </c>
      <c r="N115">
        <f>+M115/C2</f>
        <v>918.1016300935969</v>
      </c>
      <c r="O115" s="3">
        <f>+N115/D2</f>
        <v>2.5136252706190194</v>
      </c>
      <c r="P115" s="1" t="s">
        <v>43</v>
      </c>
      <c r="Q115" s="1" t="s">
        <v>60</v>
      </c>
      <c r="R115">
        <f>+G113/K115</f>
        <v>159.38492193989225</v>
      </c>
    </row>
    <row r="116" spans="1:18" ht="18.75">
      <c r="A116" s="9" t="s">
        <v>10</v>
      </c>
      <c r="B116" s="9" t="s">
        <v>11</v>
      </c>
      <c r="C116" s="9" t="s">
        <v>12</v>
      </c>
      <c r="D116" s="9" t="s">
        <v>13</v>
      </c>
      <c r="E116" s="9" t="s">
        <v>14</v>
      </c>
      <c r="F116" s="9" t="s">
        <v>15</v>
      </c>
      <c r="G116" s="9" t="s">
        <v>16</v>
      </c>
      <c r="H116" s="9" t="s">
        <v>17</v>
      </c>
      <c r="I116" s="14" t="s">
        <v>18</v>
      </c>
      <c r="J116" s="14" t="s">
        <v>19</v>
      </c>
      <c r="K116" s="14" t="s">
        <v>20</v>
      </c>
      <c r="L116" s="14" t="s">
        <v>21</v>
      </c>
      <c r="M116" s="14" t="s">
        <v>22</v>
      </c>
      <c r="N116" s="14" t="s">
        <v>23</v>
      </c>
      <c r="O116" s="14" t="s">
        <v>24</v>
      </c>
      <c r="P116" s="14" t="s">
        <v>25</v>
      </c>
      <c r="Q116" s="14" t="s">
        <v>26</v>
      </c>
      <c r="R116" s="13" t="s">
        <v>27</v>
      </c>
    </row>
    <row r="117" spans="1:18" ht="18.75">
      <c r="A117" s="11"/>
      <c r="B117" s="12"/>
      <c r="C117" s="11" t="s">
        <v>28</v>
      </c>
      <c r="D117" s="11" t="s">
        <v>29</v>
      </c>
      <c r="E117" s="11"/>
      <c r="F117" s="11" t="s">
        <v>30</v>
      </c>
      <c r="G117" s="11" t="s">
        <v>31</v>
      </c>
      <c r="H117" s="11" t="s">
        <v>32</v>
      </c>
      <c r="I117" s="14" t="s">
        <v>33</v>
      </c>
      <c r="J117" s="10" t="s">
        <v>34</v>
      </c>
      <c r="K117" s="14" t="s">
        <v>31</v>
      </c>
      <c r="L117" s="14" t="s">
        <v>35</v>
      </c>
      <c r="M117" s="15"/>
      <c r="N117" s="10" t="s">
        <v>34</v>
      </c>
      <c r="O117" s="15"/>
      <c r="P117" s="10" t="s">
        <v>34</v>
      </c>
      <c r="Q117" s="15"/>
      <c r="R117" s="1"/>
    </row>
    <row r="118" spans="1:18" ht="18.75">
      <c r="A118" s="17" t="s">
        <v>102</v>
      </c>
      <c r="B118" s="17" t="s">
        <v>72</v>
      </c>
      <c r="C118" s="17">
        <v>71.5</v>
      </c>
      <c r="D118" s="17">
        <f>+G118*H2</f>
        <v>1.8644543369347156E+30</v>
      </c>
      <c r="E118" s="17">
        <f>+D118/E2</f>
        <v>0.9373827737228334</v>
      </c>
      <c r="F118" s="17">
        <f>+H2/(G118*L118)</f>
        <v>8.604095211473043</v>
      </c>
      <c r="G118" s="17">
        <f>+K119*L119*L119</f>
        <v>783384175182.6536</v>
      </c>
      <c r="H118" s="17">
        <f>+G118/A2/B2</f>
        <v>833.4287932451632</v>
      </c>
      <c r="I118" s="17" t="s">
        <v>39</v>
      </c>
      <c r="J118" s="1" t="s">
        <v>60</v>
      </c>
      <c r="K118">
        <f>+L118*B2</f>
        <v>2218594.0253925794</v>
      </c>
      <c r="L118" s="17">
        <f>SQRT(R118)</f>
        <v>353099.3801554271</v>
      </c>
      <c r="M118" s="1" t="s">
        <v>44</v>
      </c>
      <c r="N118" s="1" t="s">
        <v>60</v>
      </c>
      <c r="O118" s="1" t="s">
        <v>47</v>
      </c>
      <c r="P118" s="1" t="s">
        <v>47</v>
      </c>
      <c r="Q118" s="1" t="s">
        <v>47</v>
      </c>
      <c r="R118">
        <f>+G118/B2</f>
        <v>124679172266.1468</v>
      </c>
    </row>
    <row r="119" spans="9:17" ht="18.75">
      <c r="I119" s="17" t="s">
        <v>40</v>
      </c>
      <c r="J119">
        <v>2.11</v>
      </c>
      <c r="K119">
        <f>+J119*A2*B2</f>
        <v>1983301540.61424</v>
      </c>
      <c r="L119" s="17">
        <f>+K119/M119</f>
        <v>19.87435406259259</v>
      </c>
      <c r="M119">
        <f>+N119*C2</f>
        <v>99792000</v>
      </c>
      <c r="N119">
        <v>1155</v>
      </c>
      <c r="O119">
        <f>+N119/D2</f>
        <v>3.162217659137577</v>
      </c>
      <c r="P119">
        <f>+F2*0.36</f>
        <v>6.8364E+26</v>
      </c>
      <c r="Q119" s="17">
        <f>+P119/H2</f>
        <v>287243697.47899157</v>
      </c>
    </row>
    <row r="120" spans="9:18" ht="18.75">
      <c r="I120" s="17" t="s">
        <v>41</v>
      </c>
      <c r="J120" s="17">
        <f>+K120/A2/B2</f>
        <v>2.3603235805123903</v>
      </c>
      <c r="K120">
        <f>+K118*1000</f>
        <v>2218594025.3925796</v>
      </c>
      <c r="L120" s="17">
        <f>SQRT(R120)</f>
        <v>18.79093877791706</v>
      </c>
      <c r="M120">
        <f>+K120/L120</f>
        <v>118067226.52940848</v>
      </c>
      <c r="N120">
        <f>+M120/C2</f>
        <v>1366.5188255718574</v>
      </c>
      <c r="O120" s="3">
        <f>+N120/D2</f>
        <v>3.7413246422227444</v>
      </c>
      <c r="P120" s="1" t="s">
        <v>44</v>
      </c>
      <c r="Q120" s="1" t="s">
        <v>60</v>
      </c>
      <c r="R120">
        <f>+G118/K120</f>
        <v>353.099380155427</v>
      </c>
    </row>
    <row r="121" spans="1:18" ht="18.75">
      <c r="A121" s="9" t="s">
        <v>10</v>
      </c>
      <c r="B121" s="9" t="s">
        <v>11</v>
      </c>
      <c r="C121" s="9" t="s">
        <v>12</v>
      </c>
      <c r="D121" s="9" t="s">
        <v>13</v>
      </c>
      <c r="E121" s="9" t="s">
        <v>14</v>
      </c>
      <c r="F121" s="9" t="s">
        <v>15</v>
      </c>
      <c r="G121" s="9" t="s">
        <v>16</v>
      </c>
      <c r="H121" s="9" t="s">
        <v>17</v>
      </c>
      <c r="I121" s="14" t="s">
        <v>18</v>
      </c>
      <c r="J121" s="14" t="s">
        <v>19</v>
      </c>
      <c r="K121" s="14" t="s">
        <v>20</v>
      </c>
      <c r="L121" s="14" t="s">
        <v>21</v>
      </c>
      <c r="M121" s="14" t="s">
        <v>22</v>
      </c>
      <c r="N121" s="14" t="s">
        <v>23</v>
      </c>
      <c r="O121" s="14" t="s">
        <v>24</v>
      </c>
      <c r="P121" s="14" t="s">
        <v>25</v>
      </c>
      <c r="Q121" s="14" t="s">
        <v>26</v>
      </c>
      <c r="R121" s="13" t="s">
        <v>27</v>
      </c>
    </row>
    <row r="122" spans="1:18" ht="18.75">
      <c r="A122" s="11"/>
      <c r="B122" s="12"/>
      <c r="C122" s="11" t="s">
        <v>28</v>
      </c>
      <c r="D122" s="11" t="s">
        <v>29</v>
      </c>
      <c r="E122" s="11"/>
      <c r="F122" s="11" t="s">
        <v>30</v>
      </c>
      <c r="G122" s="11" t="s">
        <v>31</v>
      </c>
      <c r="H122" s="11" t="s">
        <v>32</v>
      </c>
      <c r="I122" s="14" t="s">
        <v>33</v>
      </c>
      <c r="J122" s="10" t="s">
        <v>34</v>
      </c>
      <c r="K122" s="14" t="s">
        <v>31</v>
      </c>
      <c r="L122" s="14" t="s">
        <v>35</v>
      </c>
      <c r="M122" s="15"/>
      <c r="N122" s="10" t="s">
        <v>34</v>
      </c>
      <c r="O122" s="15"/>
      <c r="P122" s="10" t="s">
        <v>34</v>
      </c>
      <c r="Q122" s="15"/>
      <c r="R122" s="1"/>
    </row>
    <row r="123" spans="1:18" ht="18.75">
      <c r="A123" s="17" t="s">
        <v>103</v>
      </c>
      <c r="B123" s="17" t="s">
        <v>104</v>
      </c>
      <c r="C123" s="17">
        <v>8800</v>
      </c>
      <c r="D123" s="17">
        <f>+G123*H2</f>
        <v>4.785548991631978E+29</v>
      </c>
      <c r="E123" s="17">
        <f>+D123/E2</f>
        <v>0.24060075372709797</v>
      </c>
      <c r="F123" s="17">
        <f>+H2/(G123*L123)</f>
        <v>66.16604632302051</v>
      </c>
      <c r="G123" s="17">
        <f>+K124*L124*L124</f>
        <v>201073487043.3604</v>
      </c>
      <c r="H123" s="17">
        <f>+G123/A2/B2</f>
        <v>213.918584226024</v>
      </c>
      <c r="I123" s="17" t="s">
        <v>39</v>
      </c>
      <c r="J123" s="1" t="s">
        <v>105</v>
      </c>
      <c r="K123">
        <f>+L123*B2</f>
        <v>1124003.974099221</v>
      </c>
      <c r="L123" s="17">
        <f>SQRT(R123)</f>
        <v>178890.37020932342</v>
      </c>
      <c r="M123" s="1" t="s">
        <v>60</v>
      </c>
      <c r="N123" s="1" t="s">
        <v>47</v>
      </c>
      <c r="O123" s="1" t="s">
        <v>47</v>
      </c>
      <c r="P123" s="1" t="s">
        <v>47</v>
      </c>
      <c r="Q123" s="1" t="s">
        <v>51</v>
      </c>
      <c r="R123">
        <f>+G123/B2</f>
        <v>32001764553.62879</v>
      </c>
    </row>
    <row r="124" spans="9:17" ht="18.75">
      <c r="I124" s="17" t="s">
        <v>40</v>
      </c>
      <c r="J124">
        <v>2.7</v>
      </c>
      <c r="K124">
        <f>+J124*A2*B2</f>
        <v>2537874009.3168</v>
      </c>
      <c r="L124" s="17">
        <f>+K124/M124</f>
        <v>8.901073265</v>
      </c>
      <c r="M124">
        <f>+N124*C2</f>
        <v>285120000</v>
      </c>
      <c r="N124">
        <v>3300</v>
      </c>
      <c r="O124">
        <f>+N124/D2</f>
        <v>9.034907597535934</v>
      </c>
      <c r="P124">
        <f>+F2*0.041</f>
        <v>7.7859E+25</v>
      </c>
      <c r="Q124" s="17">
        <f>+P124/H2</f>
        <v>32713865.54621849</v>
      </c>
    </row>
    <row r="125" spans="9:18" ht="18.75">
      <c r="I125" s="17" t="s">
        <v>41</v>
      </c>
      <c r="J125" s="17">
        <f>+K125/A2/B2</f>
        <v>1.1958082705945174</v>
      </c>
      <c r="K125">
        <f>+K123*1000</f>
        <v>1124003974.099221</v>
      </c>
      <c r="L125" s="17">
        <f>SQRT(R125)</f>
        <v>13.374990475111503</v>
      </c>
      <c r="M125">
        <f>+K125/L125</f>
        <v>84037740.1532206</v>
      </c>
      <c r="N125">
        <f>+M125/C2</f>
        <v>972.6590295511643</v>
      </c>
      <c r="O125" s="3">
        <f>+N125/D2</f>
        <v>2.662995289667801</v>
      </c>
      <c r="P125" s="1" t="s">
        <v>47</v>
      </c>
      <c r="Q125" s="1" t="s">
        <v>60</v>
      </c>
      <c r="R125">
        <f>+G123/K125</f>
        <v>178.8903702093234</v>
      </c>
    </row>
    <row r="126" spans="1:18" ht="18.75">
      <c r="A126" s="9" t="s">
        <v>10</v>
      </c>
      <c r="B126" s="9" t="s">
        <v>11</v>
      </c>
      <c r="C126" s="9" t="s">
        <v>12</v>
      </c>
      <c r="D126" s="9" t="s">
        <v>13</v>
      </c>
      <c r="E126" s="9" t="s">
        <v>14</v>
      </c>
      <c r="F126" s="9" t="s">
        <v>15</v>
      </c>
      <c r="G126" s="9" t="s">
        <v>16</v>
      </c>
      <c r="H126" s="9" t="s">
        <v>17</v>
      </c>
      <c r="I126" s="14" t="s">
        <v>18</v>
      </c>
      <c r="J126" s="14" t="s">
        <v>19</v>
      </c>
      <c r="K126" s="14" t="s">
        <v>20</v>
      </c>
      <c r="L126" s="14" t="s">
        <v>21</v>
      </c>
      <c r="M126" s="14" t="s">
        <v>22</v>
      </c>
      <c r="N126" s="14" t="s">
        <v>23</v>
      </c>
      <c r="O126" s="14" t="s">
        <v>24</v>
      </c>
      <c r="P126" s="14" t="s">
        <v>25</v>
      </c>
      <c r="Q126" s="14" t="s">
        <v>26</v>
      </c>
      <c r="R126" s="13" t="s">
        <v>27</v>
      </c>
    </row>
    <row r="127" spans="1:18" ht="18.75">
      <c r="A127" s="11"/>
      <c r="B127" s="12"/>
      <c r="C127" s="11" t="s">
        <v>28</v>
      </c>
      <c r="D127" s="11" t="s">
        <v>29</v>
      </c>
      <c r="E127" s="11"/>
      <c r="F127" s="11" t="s">
        <v>30</v>
      </c>
      <c r="G127" s="11" t="s">
        <v>31</v>
      </c>
      <c r="H127" s="11" t="s">
        <v>32</v>
      </c>
      <c r="I127" s="14" t="s">
        <v>33</v>
      </c>
      <c r="J127" s="10" t="s">
        <v>34</v>
      </c>
      <c r="K127" s="14" t="s">
        <v>31</v>
      </c>
      <c r="L127" s="14" t="s">
        <v>35</v>
      </c>
      <c r="M127" s="15"/>
      <c r="N127" s="10" t="s">
        <v>34</v>
      </c>
      <c r="O127" s="15"/>
      <c r="P127" s="10" t="s">
        <v>34</v>
      </c>
      <c r="Q127" s="15"/>
      <c r="R127" s="1"/>
    </row>
    <row r="128" spans="1:18" ht="18.75">
      <c r="A128" s="17" t="s">
        <v>106</v>
      </c>
      <c r="B128" s="17" t="s">
        <v>38</v>
      </c>
      <c r="C128" s="17">
        <v>163</v>
      </c>
      <c r="D128" s="17">
        <f>+G128*H2</f>
        <v>3.359719184450949E+30</v>
      </c>
      <c r="E128" s="17">
        <f>+D128/E2</f>
        <v>1.6891499167676969</v>
      </c>
      <c r="F128" s="17">
        <f>+H2/(G128*L128)</f>
        <v>3.5569549580784217</v>
      </c>
      <c r="G128" s="17">
        <f>+K129*L129*L129</f>
        <v>1411646716155.8608</v>
      </c>
      <c r="H128" s="17">
        <f>+G128/A2/B2</f>
        <v>1501.8263789410382</v>
      </c>
      <c r="I128" s="17" t="s">
        <v>39</v>
      </c>
      <c r="J128" s="1" t="s">
        <v>43</v>
      </c>
      <c r="K128">
        <f>+L128*B2</f>
        <v>2978197.2142473212</v>
      </c>
      <c r="L128" s="17">
        <f>SQRT(R128)</f>
        <v>473993.69974651793</v>
      </c>
      <c r="M128" s="1" t="s">
        <v>60</v>
      </c>
      <c r="N128" s="1" t="s">
        <v>43</v>
      </c>
      <c r="O128" s="1" t="s">
        <v>47</v>
      </c>
      <c r="P128" s="1" t="s">
        <v>43</v>
      </c>
      <c r="Q128" s="1" t="s">
        <v>51</v>
      </c>
      <c r="R128">
        <f>+G128/B2</f>
        <v>224670027399.39218</v>
      </c>
    </row>
    <row r="129" spans="9:17" ht="18.75">
      <c r="I129" s="17" t="s">
        <v>40</v>
      </c>
      <c r="J129">
        <v>1.3</v>
      </c>
      <c r="K129">
        <f>+J129*A2*B2</f>
        <v>1221939337.8192</v>
      </c>
      <c r="L129" s="17">
        <f>+K129/M129</f>
        <v>33.988984402654275</v>
      </c>
      <c r="M129">
        <f>+N129*C2</f>
        <v>35951040</v>
      </c>
      <c r="N129">
        <v>416.1</v>
      </c>
      <c r="O129">
        <f>+N129/D2</f>
        <v>1.1392197125256673</v>
      </c>
      <c r="P129">
        <f>+F2*1.6</f>
        <v>3.0384000000000004E+27</v>
      </c>
      <c r="Q129" s="17">
        <f>+P129/H2</f>
        <v>1276638655.4621851</v>
      </c>
    </row>
    <row r="130" spans="9:18" ht="18.75">
      <c r="I130" s="17" t="s">
        <v>41</v>
      </c>
      <c r="J130" s="17">
        <f>+K130/A2/B2</f>
        <v>3.1684521961878063</v>
      </c>
      <c r="K130">
        <f>+K128*1000</f>
        <v>2978197214.247321</v>
      </c>
      <c r="L130" s="17">
        <f>SQRT(R130)</f>
        <v>21.771396366483202</v>
      </c>
      <c r="M130">
        <f>+K130/L130</f>
        <v>136794037.64988723</v>
      </c>
      <c r="N130">
        <f>+M130/C2</f>
        <v>1583.2643246514726</v>
      </c>
      <c r="O130" s="3">
        <f>+N130/D2</f>
        <v>4.334741477485209</v>
      </c>
      <c r="P130" s="1" t="s">
        <v>47</v>
      </c>
      <c r="Q130" s="1" t="s">
        <v>43</v>
      </c>
      <c r="R130">
        <f>+G128/K130</f>
        <v>473.9936997465179</v>
      </c>
    </row>
    <row r="131" spans="1:18" ht="18.75">
      <c r="A131" s="9" t="s">
        <v>10</v>
      </c>
      <c r="B131" s="9" t="s">
        <v>11</v>
      </c>
      <c r="C131" s="9" t="s">
        <v>12</v>
      </c>
      <c r="D131" s="9" t="s">
        <v>13</v>
      </c>
      <c r="E131" s="9" t="s">
        <v>14</v>
      </c>
      <c r="F131" s="9" t="s">
        <v>15</v>
      </c>
      <c r="G131" s="9" t="s">
        <v>16</v>
      </c>
      <c r="H131" s="9" t="s">
        <v>17</v>
      </c>
      <c r="I131" s="14" t="s">
        <v>18</v>
      </c>
      <c r="J131" s="14" t="s">
        <v>19</v>
      </c>
      <c r="K131" s="14" t="s">
        <v>20</v>
      </c>
      <c r="L131" s="14" t="s">
        <v>21</v>
      </c>
      <c r="M131" s="14" t="s">
        <v>22</v>
      </c>
      <c r="N131" s="14" t="s">
        <v>23</v>
      </c>
      <c r="O131" s="14" t="s">
        <v>24</v>
      </c>
      <c r="P131" s="14" t="s">
        <v>25</v>
      </c>
      <c r="Q131" s="14" t="s">
        <v>26</v>
      </c>
      <c r="R131" s="13" t="s">
        <v>27</v>
      </c>
    </row>
    <row r="132" spans="1:18" ht="18.75">
      <c r="A132" s="11"/>
      <c r="B132" s="12"/>
      <c r="C132" s="11" t="s">
        <v>28</v>
      </c>
      <c r="D132" s="11" t="s">
        <v>29</v>
      </c>
      <c r="E132" s="11"/>
      <c r="F132" s="11" t="s">
        <v>30</v>
      </c>
      <c r="G132" s="11" t="s">
        <v>31</v>
      </c>
      <c r="H132" s="11" t="s">
        <v>32</v>
      </c>
      <c r="I132" s="14" t="s">
        <v>33</v>
      </c>
      <c r="J132" s="10" t="s">
        <v>34</v>
      </c>
      <c r="K132" s="14" t="s">
        <v>31</v>
      </c>
      <c r="L132" s="14" t="s">
        <v>35</v>
      </c>
      <c r="M132" s="15"/>
      <c r="N132" s="10" t="s">
        <v>34</v>
      </c>
      <c r="O132" s="15"/>
      <c r="P132" s="10" t="s">
        <v>34</v>
      </c>
      <c r="Q132" s="15"/>
      <c r="R132" s="1"/>
    </row>
    <row r="133" spans="1:18" ht="18.75">
      <c r="A133" s="17" t="s">
        <v>107</v>
      </c>
      <c r="B133" s="17" t="s">
        <v>108</v>
      </c>
      <c r="C133" s="17">
        <v>123.5</v>
      </c>
      <c r="D133" s="17">
        <f>+G133*H2</f>
        <v>1.9119252880506908E+30</v>
      </c>
      <c r="E133" s="17">
        <f>+D133/E2</f>
        <v>0.9612495163653548</v>
      </c>
      <c r="F133" s="17">
        <f>+H2/(G133*L133)</f>
        <v>8.2856476047951</v>
      </c>
      <c r="G133" s="17">
        <f>+K134*L134*L134</f>
        <v>803329952962.4751</v>
      </c>
      <c r="H133" s="17">
        <f>+G133/A2/B2</f>
        <v>854.6487591724771</v>
      </c>
      <c r="I133" s="17" t="s">
        <v>39</v>
      </c>
      <c r="J133" s="1" t="s">
        <v>109</v>
      </c>
      <c r="K133">
        <f>+L133*B2</f>
        <v>2246660.357164345</v>
      </c>
      <c r="L133" s="17">
        <f>SQRT(R133)</f>
        <v>357566.26514584053</v>
      </c>
      <c r="M133" s="1" t="s">
        <v>109</v>
      </c>
      <c r="N133" s="1" t="s">
        <v>110</v>
      </c>
      <c r="O133" s="1" t="s">
        <v>45</v>
      </c>
      <c r="P133" s="1" t="s">
        <v>47</v>
      </c>
      <c r="Q133" s="1" t="s">
        <v>52</v>
      </c>
      <c r="R133">
        <f>+G133/B2</f>
        <v>127853633970.34554</v>
      </c>
    </row>
    <row r="134" spans="9:17" ht="18.75">
      <c r="I134" s="17" t="s">
        <v>40</v>
      </c>
      <c r="J134">
        <v>0.29</v>
      </c>
      <c r="K134">
        <f>+J134*A2*B2</f>
        <v>272586467.66735995</v>
      </c>
      <c r="L134" s="17">
        <f>+K134/M134</f>
        <v>54.28687398259036</v>
      </c>
      <c r="M134">
        <f>+N134*C2</f>
        <v>5021222.4</v>
      </c>
      <c r="N134">
        <v>58.116</v>
      </c>
      <c r="O134">
        <f>+N134/D2</f>
        <v>0.1591129363449692</v>
      </c>
      <c r="P134">
        <f>+F2*7.2</f>
        <v>1.36728E+28</v>
      </c>
      <c r="Q134" s="17">
        <f>+P134/H2</f>
        <v>5744873949.579832</v>
      </c>
    </row>
    <row r="135" spans="9:18" ht="18.75">
      <c r="I135" s="17" t="s">
        <v>41</v>
      </c>
      <c r="J135" s="17">
        <f>+K135/A2/B2</f>
        <v>2.39018286253568</v>
      </c>
      <c r="K135">
        <f>+K133*1000</f>
        <v>2246660357.1643453</v>
      </c>
      <c r="L135" s="17">
        <f>SQRT(R135)</f>
        <v>18.90942265501093</v>
      </c>
      <c r="M135">
        <f>+K135/L135</f>
        <v>118811684.42596467</v>
      </c>
      <c r="N135">
        <f>+M135/C2</f>
        <v>1375.135236411628</v>
      </c>
      <c r="O135" s="3">
        <f>+N135/D2</f>
        <v>3.764915089422664</v>
      </c>
      <c r="P135" s="1" t="s">
        <v>46</v>
      </c>
      <c r="Q135" s="1" t="s">
        <v>79</v>
      </c>
      <c r="R135">
        <f>+G133/K135</f>
        <v>357.56626514584053</v>
      </c>
    </row>
    <row r="136" spans="1:18" ht="18.75">
      <c r="A136" s="9" t="s">
        <v>10</v>
      </c>
      <c r="B136" s="9" t="s">
        <v>11</v>
      </c>
      <c r="C136" s="9" t="s">
        <v>12</v>
      </c>
      <c r="D136" s="9" t="s">
        <v>13</v>
      </c>
      <c r="E136" s="9" t="s">
        <v>14</v>
      </c>
      <c r="F136" s="9" t="s">
        <v>15</v>
      </c>
      <c r="G136" s="9" t="s">
        <v>16</v>
      </c>
      <c r="H136" s="9" t="s">
        <v>17</v>
      </c>
      <c r="I136" s="14" t="s">
        <v>18</v>
      </c>
      <c r="J136" s="14" t="s">
        <v>19</v>
      </c>
      <c r="K136" s="14" t="s">
        <v>20</v>
      </c>
      <c r="L136" s="14" t="s">
        <v>21</v>
      </c>
      <c r="M136" s="14" t="s">
        <v>22</v>
      </c>
      <c r="N136" s="14" t="s">
        <v>23</v>
      </c>
      <c r="O136" s="14" t="s">
        <v>24</v>
      </c>
      <c r="P136" s="14" t="s">
        <v>25</v>
      </c>
      <c r="Q136" s="14" t="s">
        <v>26</v>
      </c>
      <c r="R136" s="13" t="s">
        <v>27</v>
      </c>
    </row>
    <row r="137" spans="1:18" ht="18.75">
      <c r="A137" s="11"/>
      <c r="B137" s="12"/>
      <c r="C137" s="11" t="s">
        <v>28</v>
      </c>
      <c r="D137" s="11" t="s">
        <v>29</v>
      </c>
      <c r="E137" s="11"/>
      <c r="F137" s="11" t="s">
        <v>30</v>
      </c>
      <c r="G137" s="11" t="s">
        <v>31</v>
      </c>
      <c r="H137" s="11" t="s">
        <v>32</v>
      </c>
      <c r="I137" s="14" t="s">
        <v>33</v>
      </c>
      <c r="J137" s="10" t="s">
        <v>34</v>
      </c>
      <c r="K137" s="14" t="s">
        <v>31</v>
      </c>
      <c r="L137" s="14" t="s">
        <v>35</v>
      </c>
      <c r="M137" s="15"/>
      <c r="N137" s="10" t="s">
        <v>34</v>
      </c>
      <c r="O137" s="15"/>
      <c r="P137" s="10" t="s">
        <v>34</v>
      </c>
      <c r="Q137" s="15"/>
      <c r="R137" s="1"/>
    </row>
    <row r="138" spans="1:18" ht="18.75">
      <c r="A138" s="17" t="s">
        <v>111</v>
      </c>
      <c r="B138" s="17" t="s">
        <v>108</v>
      </c>
      <c r="C138" s="17">
        <v>140.6</v>
      </c>
      <c r="D138" s="17">
        <f>+G138*H2</f>
        <v>1.7735417654185123E+30</v>
      </c>
      <c r="E138" s="17">
        <f>+D138/E2</f>
        <v>0.8916750957358032</v>
      </c>
      <c r="F138" s="17">
        <f>+H2/(G138*L138)</f>
        <v>9.274077147545892</v>
      </c>
      <c r="G138" s="17">
        <f>+K139*L139*L139</f>
        <v>745185615722.064</v>
      </c>
      <c r="H138" s="17">
        <f>+G138/A2/B2</f>
        <v>792.7900104825168</v>
      </c>
      <c r="I138" s="17" t="s">
        <v>39</v>
      </c>
      <c r="J138" s="1" t="s">
        <v>112</v>
      </c>
      <c r="K138">
        <f>+L138*B2</f>
        <v>2163827.6873875316</v>
      </c>
      <c r="L138" s="17">
        <f>SQRT(R138)</f>
        <v>344383.0671294136</v>
      </c>
      <c r="M138" s="1" t="s">
        <v>79</v>
      </c>
      <c r="N138" s="1" t="s">
        <v>43</v>
      </c>
      <c r="O138" s="1" t="s">
        <v>44</v>
      </c>
      <c r="P138" s="1" t="s">
        <v>56</v>
      </c>
      <c r="Q138" s="1" t="s">
        <v>51</v>
      </c>
      <c r="R138">
        <f>+G138/B2</f>
        <v>118599696925.46219</v>
      </c>
    </row>
    <row r="139" spans="9:17" ht="18.75">
      <c r="I139" s="17" t="s">
        <v>40</v>
      </c>
      <c r="J139">
        <v>0.065</v>
      </c>
      <c r="K139">
        <f>+J139*A2*B2</f>
        <v>61096966.89096</v>
      </c>
      <c r="L139" s="17">
        <f>+K139/M139</f>
        <v>110.43898492850575</v>
      </c>
      <c r="M139">
        <f>+N139*C2</f>
        <v>553219.2</v>
      </c>
      <c r="N139">
        <v>6.403</v>
      </c>
      <c r="O139">
        <f>+N139/D2</f>
        <v>0.017530458590006844</v>
      </c>
      <c r="P139">
        <f>+F2*0.23</f>
        <v>4.3677E+26</v>
      </c>
      <c r="Q139" s="17">
        <f>+P139/H2</f>
        <v>183516806.7226891</v>
      </c>
    </row>
    <row r="140" spans="9:18" ht="18.75">
      <c r="I140" s="17" t="s">
        <v>41</v>
      </c>
      <c r="J140" s="17">
        <f>+K140/A2/B2</f>
        <v>2.302058626432406</v>
      </c>
      <c r="K140">
        <f>+K138*1000</f>
        <v>2163827687.3875318</v>
      </c>
      <c r="L140" s="17">
        <f>SQRT(R140)</f>
        <v>18.557560915417024</v>
      </c>
      <c r="M140">
        <f>+K140/L140</f>
        <v>116600866.74374828</v>
      </c>
      <c r="N140">
        <f>+M140/C2</f>
        <v>1349.5470687933828</v>
      </c>
      <c r="O140" s="3">
        <f>+N140/D2</f>
        <v>3.694858504567783</v>
      </c>
      <c r="P140" s="1" t="s">
        <v>52</v>
      </c>
      <c r="Q140" s="1" t="s">
        <v>51</v>
      </c>
      <c r="R140">
        <f>+G138/K140</f>
        <v>344.3830671294135</v>
      </c>
    </row>
    <row r="141" spans="1:18" ht="18.75">
      <c r="A141" s="9" t="s">
        <v>10</v>
      </c>
      <c r="B141" s="9" t="s">
        <v>11</v>
      </c>
      <c r="C141" s="9" t="s">
        <v>12</v>
      </c>
      <c r="D141" s="9" t="s">
        <v>13</v>
      </c>
      <c r="E141" s="9" t="s">
        <v>14</v>
      </c>
      <c r="F141" s="9" t="s">
        <v>15</v>
      </c>
      <c r="G141" s="9" t="s">
        <v>16</v>
      </c>
      <c r="H141" s="9" t="s">
        <v>17</v>
      </c>
      <c r="I141" s="14" t="s">
        <v>18</v>
      </c>
      <c r="J141" s="14" t="s">
        <v>19</v>
      </c>
      <c r="K141" s="14" t="s">
        <v>20</v>
      </c>
      <c r="L141" s="14" t="s">
        <v>21</v>
      </c>
      <c r="M141" s="14" t="s">
        <v>22</v>
      </c>
      <c r="N141" s="14" t="s">
        <v>23</v>
      </c>
      <c r="O141" s="14" t="s">
        <v>24</v>
      </c>
      <c r="P141" s="14" t="s">
        <v>25</v>
      </c>
      <c r="Q141" s="14" t="s">
        <v>26</v>
      </c>
      <c r="R141" s="13" t="s">
        <v>27</v>
      </c>
    </row>
    <row r="142" spans="1:18" ht="18.75">
      <c r="A142" s="11"/>
      <c r="B142" s="12"/>
      <c r="C142" s="11" t="s">
        <v>28</v>
      </c>
      <c r="D142" s="11" t="s">
        <v>29</v>
      </c>
      <c r="E142" s="11"/>
      <c r="F142" s="11" t="s">
        <v>30</v>
      </c>
      <c r="G142" s="11" t="s">
        <v>31</v>
      </c>
      <c r="H142" s="11" t="s">
        <v>32</v>
      </c>
      <c r="I142" s="14" t="s">
        <v>33</v>
      </c>
      <c r="J142" s="10" t="s">
        <v>34</v>
      </c>
      <c r="K142" s="14" t="s">
        <v>31</v>
      </c>
      <c r="L142" s="14" t="s">
        <v>35</v>
      </c>
      <c r="M142" s="15"/>
      <c r="N142" s="10" t="s">
        <v>34</v>
      </c>
      <c r="O142" s="15"/>
      <c r="P142" s="10" t="s">
        <v>34</v>
      </c>
      <c r="Q142" s="15"/>
      <c r="R142" s="1"/>
    </row>
    <row r="143" spans="1:18" ht="18.75">
      <c r="A143" s="17" t="s">
        <v>113</v>
      </c>
      <c r="B143" s="17" t="s">
        <v>104</v>
      </c>
      <c r="C143" s="17">
        <v>118.46</v>
      </c>
      <c r="D143" s="17">
        <f>+G143*H2</f>
        <v>2.76419209581788E+30</v>
      </c>
      <c r="E143" s="17">
        <f>+D143/E2</f>
        <v>1.389739615795817</v>
      </c>
      <c r="F143" s="17">
        <f>+H2/(G143*L143)</f>
        <v>4.766290443652843</v>
      </c>
      <c r="G143" s="17">
        <f>+K144*L144*L144</f>
        <v>1161425250343.6472</v>
      </c>
      <c r="H143" s="17">
        <f>+G143/A2/B2</f>
        <v>1235.6201152680637</v>
      </c>
      <c r="I143" s="17" t="s">
        <v>39</v>
      </c>
      <c r="J143" s="1" t="s">
        <v>109</v>
      </c>
      <c r="K143">
        <f>+L143*B2</f>
        <v>2701382.44848063</v>
      </c>
      <c r="L143" s="17">
        <f>SQRT(R143)</f>
        <v>429937.3644768</v>
      </c>
      <c r="M143" s="1" t="s">
        <v>45</v>
      </c>
      <c r="N143" s="1" t="s">
        <v>45</v>
      </c>
      <c r="O143" s="1" t="s">
        <v>47</v>
      </c>
      <c r="P143" s="1" t="s">
        <v>47</v>
      </c>
      <c r="Q143" s="1" t="s">
        <v>79</v>
      </c>
      <c r="R143">
        <f>+G143/B2</f>
        <v>184846137373.2568</v>
      </c>
    </row>
    <row r="144" spans="7:17" ht="18.75">
      <c r="G144">
        <f>+K144*L144*L144</f>
        <v>1161425250343.6472</v>
      </c>
      <c r="I144" s="17" t="s">
        <v>40</v>
      </c>
      <c r="J144">
        <v>0.81</v>
      </c>
      <c r="K144">
        <f>+J144*A2*B2</f>
        <v>761362202.79504</v>
      </c>
      <c r="L144" s="17">
        <f>+K144/M144</f>
        <v>39.05709836162574</v>
      </c>
      <c r="M144">
        <f>+N144*C2</f>
        <v>19493568</v>
      </c>
      <c r="N144">
        <v>225.62</v>
      </c>
      <c r="O144">
        <f>+N144/D2</f>
        <v>0.6177138945927447</v>
      </c>
      <c r="P144">
        <f>+F2*2.88</f>
        <v>5.46912E+27</v>
      </c>
      <c r="Q144" s="17">
        <f>+P144/H2</f>
        <v>2297949579.8319325</v>
      </c>
    </row>
    <row r="145" spans="7:17" ht="18.75">
      <c r="G145">
        <f>+K145*L145*L145</f>
        <v>1160999041675.871</v>
      </c>
      <c r="I145" s="17" t="s">
        <v>73</v>
      </c>
      <c r="J145">
        <v>2.847</v>
      </c>
      <c r="K145">
        <f>+J145*A2*B2</f>
        <v>2676047149.824048</v>
      </c>
      <c r="L145" s="17">
        <f>+K145/M145</f>
        <v>20.829030220429278</v>
      </c>
      <c r="M145">
        <f>+N145*C2</f>
        <v>128476800</v>
      </c>
      <c r="N145">
        <v>1487</v>
      </c>
      <c r="O145">
        <f>+N145/D2</f>
        <v>4.071184120465435</v>
      </c>
      <c r="P145">
        <f>+F2*4.04</f>
        <v>7.67196E+27</v>
      </c>
      <c r="Q145" s="17">
        <f>+P145/H2</f>
        <v>3223512605.042017</v>
      </c>
    </row>
    <row r="146" spans="9:18" ht="18.75">
      <c r="I146" s="17" t="s">
        <v>41</v>
      </c>
      <c r="J146" s="17">
        <f>+K146/A2/B2</f>
        <v>2.8739537834114883</v>
      </c>
      <c r="K146">
        <f>+K143*1000</f>
        <v>2701382448.48063</v>
      </c>
      <c r="L146" s="17">
        <f>SQRT(R146)</f>
        <v>20.734931021751677</v>
      </c>
      <c r="M146">
        <f>+K146/L146</f>
        <v>130281718.59587012</v>
      </c>
      <c r="N146">
        <f>+M146/C2</f>
        <v>1507.8902615262746</v>
      </c>
      <c r="O146" s="3">
        <f>+N146/D2</f>
        <v>4.128378539428541</v>
      </c>
      <c r="P146" s="1" t="s">
        <v>44</v>
      </c>
      <c r="Q146" s="1" t="s">
        <v>46</v>
      </c>
      <c r="R146">
        <f>+G143/K146</f>
        <v>429.9373644768001</v>
      </c>
    </row>
    <row r="147" spans="1:18" ht="18.75">
      <c r="A147" s="9" t="s">
        <v>10</v>
      </c>
      <c r="B147" s="9" t="s">
        <v>11</v>
      </c>
      <c r="C147" s="9" t="s">
        <v>12</v>
      </c>
      <c r="D147" s="9" t="s">
        <v>13</v>
      </c>
      <c r="E147" s="9" t="s">
        <v>14</v>
      </c>
      <c r="F147" s="9" t="s">
        <v>15</v>
      </c>
      <c r="G147" s="9" t="s">
        <v>16</v>
      </c>
      <c r="H147" s="9" t="s">
        <v>17</v>
      </c>
      <c r="I147" s="14" t="s">
        <v>18</v>
      </c>
      <c r="J147" s="14" t="s">
        <v>19</v>
      </c>
      <c r="K147" s="14" t="s">
        <v>20</v>
      </c>
      <c r="L147" s="14" t="s">
        <v>21</v>
      </c>
      <c r="M147" s="14" t="s">
        <v>22</v>
      </c>
      <c r="N147" s="14" t="s">
        <v>23</v>
      </c>
      <c r="O147" s="14" t="s">
        <v>24</v>
      </c>
      <c r="P147" s="14" t="s">
        <v>25</v>
      </c>
      <c r="Q147" s="14" t="s">
        <v>26</v>
      </c>
      <c r="R147" s="13" t="s">
        <v>27</v>
      </c>
    </row>
    <row r="148" spans="1:18" ht="18.75">
      <c r="A148" s="11"/>
      <c r="B148" s="12"/>
      <c r="C148" s="11" t="s">
        <v>28</v>
      </c>
      <c r="D148" s="11" t="s">
        <v>29</v>
      </c>
      <c r="E148" s="11"/>
      <c r="F148" s="11" t="s">
        <v>30</v>
      </c>
      <c r="G148" s="11" t="s">
        <v>31</v>
      </c>
      <c r="H148" s="11" t="s">
        <v>32</v>
      </c>
      <c r="I148" s="14" t="s">
        <v>33</v>
      </c>
      <c r="J148" s="10" t="s">
        <v>34</v>
      </c>
      <c r="K148" s="14" t="s">
        <v>31</v>
      </c>
      <c r="L148" s="14" t="s">
        <v>35</v>
      </c>
      <c r="M148" s="15"/>
      <c r="N148" s="10" t="s">
        <v>34</v>
      </c>
      <c r="O148" s="15"/>
      <c r="P148" s="10" t="s">
        <v>34</v>
      </c>
      <c r="Q148" s="15"/>
      <c r="R148" s="1"/>
    </row>
    <row r="149" spans="1:18" ht="18.75">
      <c r="A149" s="17" t="s">
        <v>114</v>
      </c>
      <c r="B149" s="17" t="s">
        <v>84</v>
      </c>
      <c r="C149" s="17">
        <v>212</v>
      </c>
      <c r="D149" s="17">
        <f>+G149*H2</f>
        <v>1.7975746276927084E+30</v>
      </c>
      <c r="E149" s="17">
        <f>+D149/E2</f>
        <v>0.9037579827514874</v>
      </c>
      <c r="F149" s="17">
        <f>+H2/(G149*L149)</f>
        <v>9.088714061168364</v>
      </c>
      <c r="G149" s="17">
        <f>+K150*L150*L150</f>
        <v>755283457013.743</v>
      </c>
      <c r="H149" s="17">
        <f>+G149/A2/B2</f>
        <v>803.5329281322677</v>
      </c>
      <c r="I149" s="17" t="s">
        <v>39</v>
      </c>
      <c r="J149" s="1" t="s">
        <v>43</v>
      </c>
      <c r="K149">
        <f>+L149*B2</f>
        <v>2178439.1240309537</v>
      </c>
      <c r="L149" s="17">
        <f>SQRT(R149)</f>
        <v>346708.5440589117</v>
      </c>
      <c r="M149" s="1" t="s">
        <v>44</v>
      </c>
      <c r="N149" s="1" t="s">
        <v>52</v>
      </c>
      <c r="O149" s="1" t="s">
        <v>110</v>
      </c>
      <c r="P149" s="1" t="s">
        <v>62</v>
      </c>
      <c r="Q149" s="1" t="s">
        <v>62</v>
      </c>
      <c r="R149">
        <f>+G149/B2</f>
        <v>120206814523.45032</v>
      </c>
    </row>
    <row r="150" spans="9:17" ht="18.75">
      <c r="I150" s="17" t="s">
        <v>40</v>
      </c>
      <c r="J150">
        <v>2.07</v>
      </c>
      <c r="K150">
        <f>+J150*A2*B2</f>
        <v>1945703407.1428797</v>
      </c>
      <c r="L150" s="17">
        <f>+K150/M150</f>
        <v>19.70228815437445</v>
      </c>
      <c r="M150">
        <f>+N150*C2</f>
        <v>98755200</v>
      </c>
      <c r="N150">
        <v>1143</v>
      </c>
      <c r="O150">
        <f>+N150/D2</f>
        <v>3.1293634496919918</v>
      </c>
      <c r="P150">
        <f>+F2*0.67</f>
        <v>1.27233E+27</v>
      </c>
      <c r="Q150" s="17">
        <f>+P150/H2</f>
        <v>534592436.9747899</v>
      </c>
    </row>
    <row r="151" spans="9:18" ht="18.75">
      <c r="I151" s="17" t="s">
        <v>41</v>
      </c>
      <c r="J151" s="17">
        <f>+K151/A2/B2</f>
        <v>2.317603479641199</v>
      </c>
      <c r="K151">
        <f>+K149*1000</f>
        <v>2178439124.030954</v>
      </c>
      <c r="L151" s="17">
        <f>SQRT(R151)</f>
        <v>18.620111279444913</v>
      </c>
      <c r="M151">
        <f>+K151/L151</f>
        <v>116993883.19100828</v>
      </c>
      <c r="N151">
        <f>+M151/C2</f>
        <v>1354.0958702662997</v>
      </c>
      <c r="O151" s="3">
        <f>+N151/D2</f>
        <v>3.7073124442609164</v>
      </c>
      <c r="P151" s="1" t="s">
        <v>51</v>
      </c>
      <c r="Q151" s="1" t="s">
        <v>51</v>
      </c>
      <c r="R151">
        <f>+G149/K151</f>
        <v>346.70854405891174</v>
      </c>
    </row>
    <row r="152" spans="1:18" ht="18.75">
      <c r="A152" s="9" t="s">
        <v>10</v>
      </c>
      <c r="B152" s="9" t="s">
        <v>11</v>
      </c>
      <c r="C152" s="9" t="s">
        <v>12</v>
      </c>
      <c r="D152" s="9" t="s">
        <v>13</v>
      </c>
      <c r="E152" s="9" t="s">
        <v>14</v>
      </c>
      <c r="F152" s="9" t="s">
        <v>15</v>
      </c>
      <c r="G152" s="9" t="s">
        <v>16</v>
      </c>
      <c r="H152" s="9" t="s">
        <v>17</v>
      </c>
      <c r="I152" s="14" t="s">
        <v>18</v>
      </c>
      <c r="J152" s="14" t="s">
        <v>19</v>
      </c>
      <c r="K152" s="14" t="s">
        <v>20</v>
      </c>
      <c r="L152" s="14" t="s">
        <v>21</v>
      </c>
      <c r="M152" s="14" t="s">
        <v>22</v>
      </c>
      <c r="N152" s="14" t="s">
        <v>23</v>
      </c>
      <c r="O152" s="14" t="s">
        <v>24</v>
      </c>
      <c r="P152" s="14" t="s">
        <v>25</v>
      </c>
      <c r="Q152" s="14" t="s">
        <v>26</v>
      </c>
      <c r="R152" s="13" t="s">
        <v>27</v>
      </c>
    </row>
    <row r="153" spans="1:18" ht="18.75">
      <c r="A153" s="11"/>
      <c r="B153" s="12"/>
      <c r="C153" s="11" t="s">
        <v>28</v>
      </c>
      <c r="D153" s="11" t="s">
        <v>29</v>
      </c>
      <c r="E153" s="11"/>
      <c r="F153" s="11" t="s">
        <v>30</v>
      </c>
      <c r="G153" s="11" t="s">
        <v>31</v>
      </c>
      <c r="H153" s="11" t="s">
        <v>32</v>
      </c>
      <c r="I153" s="14" t="s">
        <v>33</v>
      </c>
      <c r="J153" s="10" t="s">
        <v>34</v>
      </c>
      <c r="K153" s="14" t="s">
        <v>31</v>
      </c>
      <c r="L153" s="14" t="s">
        <v>35</v>
      </c>
      <c r="M153" s="15"/>
      <c r="N153" s="10" t="s">
        <v>34</v>
      </c>
      <c r="O153" s="15"/>
      <c r="P153" s="10" t="s">
        <v>34</v>
      </c>
      <c r="Q153" s="15"/>
      <c r="R153" s="1"/>
    </row>
    <row r="154" spans="1:18" ht="18.75">
      <c r="A154" s="17" t="s">
        <v>115</v>
      </c>
      <c r="B154" s="17" t="s">
        <v>84</v>
      </c>
      <c r="C154" s="17">
        <v>293.5</v>
      </c>
      <c r="D154" s="17">
        <f>+G154*H2</f>
        <v>1.9636900225139912E+30</v>
      </c>
      <c r="E154" s="17">
        <f>+D154/E2</f>
        <v>0.9872750238883817</v>
      </c>
      <c r="F154" s="17">
        <f>+H2/(G154*L154)</f>
        <v>7.960190008064518</v>
      </c>
      <c r="G154" s="17">
        <f>+K155*L155*L155</f>
        <v>825079841392.4332</v>
      </c>
      <c r="H154" s="17">
        <f>+G154/A2/B2</f>
        <v>877.7880870292985</v>
      </c>
      <c r="I154" s="17" t="s">
        <v>39</v>
      </c>
      <c r="J154" s="1" t="s">
        <v>44</v>
      </c>
      <c r="K154">
        <f>+L154*B2</f>
        <v>2276871.023891546</v>
      </c>
      <c r="L154" s="17">
        <f>SQRT(R154)</f>
        <v>362374.43084599345</v>
      </c>
      <c r="M154" s="1" t="s">
        <v>44</v>
      </c>
      <c r="N154" s="1" t="s">
        <v>43</v>
      </c>
      <c r="O154" s="1" t="s">
        <v>62</v>
      </c>
      <c r="P154" s="1" t="s">
        <v>42</v>
      </c>
      <c r="Q154" s="1" t="s">
        <v>44</v>
      </c>
      <c r="R154">
        <f>+G154/B2</f>
        <v>131315228130.95767</v>
      </c>
    </row>
    <row r="155" spans="9:17" ht="18.75">
      <c r="I155" s="17" t="s">
        <v>40</v>
      </c>
      <c r="J155">
        <v>1.29</v>
      </c>
      <c r="K155">
        <f>+J155*A2*B2</f>
        <v>1212539804.45136</v>
      </c>
      <c r="L155" s="17">
        <f>+K155/M155</f>
        <v>26.08554928342627</v>
      </c>
      <c r="M155">
        <f>+N155*C2</f>
        <v>46483200</v>
      </c>
      <c r="N155">
        <v>538</v>
      </c>
      <c r="O155">
        <f>+N155/D2</f>
        <v>1.4729637234770705</v>
      </c>
      <c r="P155">
        <f>+F2*1.83</f>
        <v>3.47517E+27</v>
      </c>
      <c r="Q155" s="17">
        <f>+P155/H2</f>
        <v>1460155462.1848738</v>
      </c>
    </row>
    <row r="156" spans="9:18" ht="18.75">
      <c r="I156" s="17" t="s">
        <v>41</v>
      </c>
      <c r="J156" s="17">
        <f>+K156/A2/B2</f>
        <v>2.4223234652070476</v>
      </c>
      <c r="K156">
        <f>+K154*1000</f>
        <v>2276871023.891546</v>
      </c>
      <c r="L156" s="17">
        <f>SQRT(R156)</f>
        <v>19.03613487150145</v>
      </c>
      <c r="M156">
        <f>+K156/L156</f>
        <v>119607842.62461787</v>
      </c>
      <c r="N156">
        <f>+M156/C2</f>
        <v>1384.3500303775218</v>
      </c>
      <c r="O156" s="3">
        <f>+N156/D2</f>
        <v>3.7901438203354463</v>
      </c>
      <c r="P156" s="1" t="s">
        <v>44</v>
      </c>
      <c r="Q156" s="1" t="s">
        <v>42</v>
      </c>
      <c r="R156">
        <f>+G154/K156</f>
        <v>362.37443084599346</v>
      </c>
    </row>
    <row r="157" spans="1:18" ht="18.75">
      <c r="A157" s="9" t="s">
        <v>10</v>
      </c>
      <c r="B157" s="9" t="s">
        <v>11</v>
      </c>
      <c r="C157" s="9" t="s">
        <v>12</v>
      </c>
      <c r="D157" s="9" t="s">
        <v>13</v>
      </c>
      <c r="E157" s="9" t="s">
        <v>14</v>
      </c>
      <c r="F157" s="9" t="s">
        <v>15</v>
      </c>
      <c r="G157" s="9" t="s">
        <v>16</v>
      </c>
      <c r="H157" s="9" t="s">
        <v>17</v>
      </c>
      <c r="I157" s="14" t="s">
        <v>18</v>
      </c>
      <c r="J157" s="14" t="s">
        <v>19</v>
      </c>
      <c r="K157" s="14" t="s">
        <v>20</v>
      </c>
      <c r="L157" s="14" t="s">
        <v>21</v>
      </c>
      <c r="M157" s="14" t="s">
        <v>22</v>
      </c>
      <c r="N157" s="14" t="s">
        <v>23</v>
      </c>
      <c r="O157" s="14" t="s">
        <v>24</v>
      </c>
      <c r="P157" s="14" t="s">
        <v>25</v>
      </c>
      <c r="Q157" s="14" t="s">
        <v>26</v>
      </c>
      <c r="R157" s="13" t="s">
        <v>27</v>
      </c>
    </row>
    <row r="158" spans="1:18" ht="18.75">
      <c r="A158" s="11"/>
      <c r="B158" s="12"/>
      <c r="C158" s="11" t="s">
        <v>28</v>
      </c>
      <c r="D158" s="11" t="s">
        <v>29</v>
      </c>
      <c r="E158" s="11"/>
      <c r="F158" s="11" t="s">
        <v>30</v>
      </c>
      <c r="G158" s="11" t="s">
        <v>31</v>
      </c>
      <c r="H158" s="11" t="s">
        <v>32</v>
      </c>
      <c r="I158" s="14" t="s">
        <v>33</v>
      </c>
      <c r="J158" s="10" t="s">
        <v>34</v>
      </c>
      <c r="K158" s="14" t="s">
        <v>31</v>
      </c>
      <c r="L158" s="14" t="s">
        <v>35</v>
      </c>
      <c r="M158" s="15"/>
      <c r="N158" s="10" t="s">
        <v>34</v>
      </c>
      <c r="O158" s="15"/>
      <c r="P158" s="10" t="s">
        <v>34</v>
      </c>
      <c r="Q158" s="15"/>
      <c r="R158" s="1"/>
    </row>
    <row r="159" spans="1:18" ht="18.75">
      <c r="A159" s="17" t="s">
        <v>116</v>
      </c>
      <c r="B159" s="17" t="s">
        <v>108</v>
      </c>
      <c r="C159" s="17">
        <v>418</v>
      </c>
      <c r="D159" s="17">
        <f>+G159*H2</f>
        <v>3.273333156638009E+30</v>
      </c>
      <c r="E159" s="17">
        <f>+D159/E2</f>
        <v>1.6457180274700902</v>
      </c>
      <c r="F159" s="17">
        <f>+H2/(G159*L159)</f>
        <v>3.6986864830950346</v>
      </c>
      <c r="G159" s="17">
        <f>+K160*L160*L160</f>
        <v>1375350065814.2896</v>
      </c>
      <c r="H159" s="17">
        <f>+G159/A2/B2</f>
        <v>1463.211004197268</v>
      </c>
      <c r="I159" s="17" t="s">
        <v>39</v>
      </c>
      <c r="J159" s="1" t="s">
        <v>100</v>
      </c>
      <c r="K159">
        <f>+L159*B2</f>
        <v>2939659.764925925</v>
      </c>
      <c r="L159" s="17">
        <f>SQRT(R159)</f>
        <v>467860.28853544773</v>
      </c>
      <c r="M159" s="1" t="s">
        <v>44</v>
      </c>
      <c r="N159" s="1" t="s">
        <v>45</v>
      </c>
      <c r="O159" s="1" t="s">
        <v>44</v>
      </c>
      <c r="P159" s="1" t="s">
        <v>51</v>
      </c>
      <c r="Q159" s="1" t="s">
        <v>117</v>
      </c>
      <c r="R159">
        <f>+G159/B2</f>
        <v>218893249588.47238</v>
      </c>
    </row>
    <row r="160" spans="9:17" ht="18.75">
      <c r="I160" s="17" t="s">
        <v>40</v>
      </c>
      <c r="J160">
        <v>1.03</v>
      </c>
      <c r="K160">
        <f>+J160*A2*B2</f>
        <v>968151936.88752</v>
      </c>
      <c r="L160" s="17">
        <f>+K160/M160</f>
        <v>37.69075759332137</v>
      </c>
      <c r="M160">
        <f>+N160*C2</f>
        <v>25686720</v>
      </c>
      <c r="N160">
        <v>297.3</v>
      </c>
      <c r="O160">
        <f>+N160/D2</f>
        <v>0.8139630390143737</v>
      </c>
      <c r="P160">
        <f>+F2*0.61</f>
        <v>1.15839E+27</v>
      </c>
      <c r="Q160" s="17">
        <f>+P160/H2</f>
        <v>486718487.394958</v>
      </c>
    </row>
    <row r="161" spans="9:18" ht="18.75">
      <c r="I161" s="17" t="s">
        <v>41</v>
      </c>
      <c r="J161" s="17">
        <f>+K161/A2/B2</f>
        <v>3.127452874398865</v>
      </c>
      <c r="K161">
        <f>+K159*1000</f>
        <v>2939659764.9259253</v>
      </c>
      <c r="L161" s="17">
        <f>SQRT(R161)</f>
        <v>21.630078329387704</v>
      </c>
      <c r="M161">
        <f>+K161/L161</f>
        <v>135906108.15920886</v>
      </c>
      <c r="N161">
        <f>+M161/C2</f>
        <v>1572.9873629538063</v>
      </c>
      <c r="O161" s="3">
        <f>+N161/D2</f>
        <v>4.306604689811927</v>
      </c>
      <c r="P161" s="1" t="s">
        <v>44</v>
      </c>
      <c r="Q161" s="1" t="s">
        <v>47</v>
      </c>
      <c r="R161">
        <f>+G159/K161</f>
        <v>467.86028853544764</v>
      </c>
    </row>
    <row r="162" spans="1:18" ht="18.75">
      <c r="A162" s="9" t="s">
        <v>10</v>
      </c>
      <c r="B162" s="9" t="s">
        <v>11</v>
      </c>
      <c r="C162" s="9" t="s">
        <v>12</v>
      </c>
      <c r="D162" s="9" t="s">
        <v>13</v>
      </c>
      <c r="E162" s="9" t="s">
        <v>14</v>
      </c>
      <c r="F162" s="9" t="s">
        <v>15</v>
      </c>
      <c r="G162" s="9" t="s">
        <v>16</v>
      </c>
      <c r="H162" s="9" t="s">
        <v>17</v>
      </c>
      <c r="I162" s="14" t="s">
        <v>18</v>
      </c>
      <c r="J162" s="14" t="s">
        <v>19</v>
      </c>
      <c r="K162" s="14" t="s">
        <v>20</v>
      </c>
      <c r="L162" s="14" t="s">
        <v>21</v>
      </c>
      <c r="M162" s="14" t="s">
        <v>22</v>
      </c>
      <c r="N162" s="14" t="s">
        <v>23</v>
      </c>
      <c r="O162" s="14" t="s">
        <v>24</v>
      </c>
      <c r="P162" s="14" t="s">
        <v>25</v>
      </c>
      <c r="Q162" s="14" t="s">
        <v>26</v>
      </c>
      <c r="R162" s="13" t="s">
        <v>27</v>
      </c>
    </row>
    <row r="163" spans="1:18" ht="18.75">
      <c r="A163" s="11"/>
      <c r="B163" s="12"/>
      <c r="C163" s="11" t="s">
        <v>28</v>
      </c>
      <c r="D163" s="11" t="s">
        <v>29</v>
      </c>
      <c r="E163" s="11"/>
      <c r="F163" s="11" t="s">
        <v>30</v>
      </c>
      <c r="G163" s="11" t="s">
        <v>31</v>
      </c>
      <c r="H163" s="11" t="s">
        <v>32</v>
      </c>
      <c r="I163" s="14" t="s">
        <v>33</v>
      </c>
      <c r="J163" s="10" t="s">
        <v>34</v>
      </c>
      <c r="K163" s="14" t="s">
        <v>31</v>
      </c>
      <c r="L163" s="14" t="s">
        <v>35</v>
      </c>
      <c r="M163" s="15"/>
      <c r="N163" s="10" t="s">
        <v>34</v>
      </c>
      <c r="O163" s="15"/>
      <c r="P163" s="10" t="s">
        <v>34</v>
      </c>
      <c r="Q163" s="15"/>
      <c r="R163" s="1"/>
    </row>
    <row r="164" spans="1:18" ht="18.75">
      <c r="A164" s="17" t="s">
        <v>118</v>
      </c>
      <c r="B164" s="17" t="s">
        <v>119</v>
      </c>
      <c r="C164" s="17">
        <v>192.54</v>
      </c>
      <c r="D164" s="17">
        <f>+G164*H2</f>
        <v>2.9081881703230425E+30</v>
      </c>
      <c r="E164" s="17">
        <f>+D164/E2</f>
        <v>1.462135832238835</v>
      </c>
      <c r="F164" s="17">
        <f>+H2/(G164*L164)</f>
        <v>4.4167119809162285</v>
      </c>
      <c r="G164" s="17">
        <f>+K165*L165*L165</f>
        <v>1221927802656.7405</v>
      </c>
      <c r="H164" s="17">
        <f>+G164/A2/B2</f>
        <v>1299.9877279413688</v>
      </c>
      <c r="I164" s="17" t="s">
        <v>39</v>
      </c>
      <c r="J164" s="1" t="s">
        <v>45</v>
      </c>
      <c r="K164">
        <f>+L164*B2</f>
        <v>2770851.2716587353</v>
      </c>
      <c r="L164" s="17">
        <f>SQRT(R164)</f>
        <v>440993.64522197854</v>
      </c>
      <c r="M164" s="1" t="s">
        <v>85</v>
      </c>
      <c r="N164" s="1" t="s">
        <v>51</v>
      </c>
      <c r="O164" s="1" t="s">
        <v>44</v>
      </c>
      <c r="P164" s="1" t="s">
        <v>63</v>
      </c>
      <c r="Q164" s="1" t="s">
        <v>63</v>
      </c>
      <c r="R164">
        <f>+G164/B2</f>
        <v>194475395126.16827</v>
      </c>
    </row>
    <row r="165" spans="9:17" ht="18.75">
      <c r="I165" s="17" t="s">
        <v>40</v>
      </c>
      <c r="J165">
        <v>1.227</v>
      </c>
      <c r="K165">
        <f>+J165*A2*B2</f>
        <v>1153322744.233968</v>
      </c>
      <c r="L165" s="17">
        <f>+K165/M165</f>
        <v>32.5497265863895</v>
      </c>
      <c r="M165">
        <f>+N165*C2</f>
        <v>35432640</v>
      </c>
      <c r="N165">
        <v>410.1</v>
      </c>
      <c r="O165">
        <f>+N165/D2</f>
        <v>1.1227926078028747</v>
      </c>
      <c r="P165">
        <f>+F2*1.53</f>
        <v>2.90547E+27</v>
      </c>
      <c r="Q165" s="17">
        <f>+P165/H2</f>
        <v>1220785714.2857144</v>
      </c>
    </row>
    <row r="166" spans="9:18" ht="18.75">
      <c r="I166" s="17" t="s">
        <v>41</v>
      </c>
      <c r="J166" s="17">
        <f>+K166/A2/B2</f>
        <v>2.947860455646718</v>
      </c>
      <c r="K166">
        <f>+K164*1000</f>
        <v>2770851271.6587353</v>
      </c>
      <c r="L166" s="17">
        <f>SQRT(R166)</f>
        <v>20.99984869521632</v>
      </c>
      <c r="M166">
        <f>+K166/L166</f>
        <v>131946249.32178317</v>
      </c>
      <c r="N166">
        <f>+M166/C2</f>
        <v>1527.1556634465644</v>
      </c>
      <c r="O166" s="3">
        <f>+N166/D2</f>
        <v>4.181124335240423</v>
      </c>
      <c r="P166" s="1" t="s">
        <v>46</v>
      </c>
      <c r="Q166" s="1" t="s">
        <v>63</v>
      </c>
      <c r="R166">
        <f>+G164/K166</f>
        <v>440.99364522197857</v>
      </c>
    </row>
    <row r="167" spans="1:18" ht="18.75">
      <c r="A167" s="9" t="s">
        <v>10</v>
      </c>
      <c r="B167" s="9" t="s">
        <v>11</v>
      </c>
      <c r="C167" s="9" t="s">
        <v>12</v>
      </c>
      <c r="D167" s="9" t="s">
        <v>13</v>
      </c>
      <c r="E167" s="9" t="s">
        <v>14</v>
      </c>
      <c r="F167" s="9" t="s">
        <v>15</v>
      </c>
      <c r="G167" s="9" t="s">
        <v>16</v>
      </c>
      <c r="H167" s="9" t="s">
        <v>17</v>
      </c>
      <c r="I167" s="14" t="s">
        <v>18</v>
      </c>
      <c r="J167" s="14" t="s">
        <v>19</v>
      </c>
      <c r="K167" s="14" t="s">
        <v>20</v>
      </c>
      <c r="L167" s="14" t="s">
        <v>21</v>
      </c>
      <c r="M167" s="14" t="s">
        <v>22</v>
      </c>
      <c r="N167" s="14" t="s">
        <v>23</v>
      </c>
      <c r="O167" s="14" t="s">
        <v>24</v>
      </c>
      <c r="P167" s="14" t="s">
        <v>25</v>
      </c>
      <c r="Q167" s="14" t="s">
        <v>26</v>
      </c>
      <c r="R167" s="13" t="s">
        <v>27</v>
      </c>
    </row>
    <row r="168" spans="1:18" ht="18.75">
      <c r="A168" s="11"/>
      <c r="B168" s="12"/>
      <c r="C168" s="11" t="s">
        <v>28</v>
      </c>
      <c r="D168" s="11" t="s">
        <v>29</v>
      </c>
      <c r="E168" s="11"/>
      <c r="F168" s="11" t="s">
        <v>30</v>
      </c>
      <c r="G168" s="11" t="s">
        <v>31</v>
      </c>
      <c r="H168" s="11" t="s">
        <v>32</v>
      </c>
      <c r="I168" s="14" t="s">
        <v>33</v>
      </c>
      <c r="J168" s="10" t="s">
        <v>34</v>
      </c>
      <c r="K168" s="14" t="s">
        <v>31</v>
      </c>
      <c r="L168" s="14" t="s">
        <v>35</v>
      </c>
      <c r="M168" s="15"/>
      <c r="N168" s="10" t="s">
        <v>34</v>
      </c>
      <c r="O168" s="15"/>
      <c r="P168" s="10" t="s">
        <v>34</v>
      </c>
      <c r="Q168" s="15"/>
      <c r="R168" s="1"/>
    </row>
    <row r="169" spans="1:18" ht="18.75">
      <c r="A169" s="17" t="s">
        <v>120</v>
      </c>
      <c r="B169" s="17" t="s">
        <v>119</v>
      </c>
      <c r="C169" s="17">
        <v>152.4</v>
      </c>
      <c r="D169" s="1" t="s">
        <v>79</v>
      </c>
      <c r="E169" s="1" t="s">
        <v>45</v>
      </c>
      <c r="F169" s="1" t="s">
        <v>47</v>
      </c>
      <c r="G169" s="1" t="s">
        <v>70</v>
      </c>
      <c r="H169" s="1" t="s">
        <v>45</v>
      </c>
      <c r="I169" s="17" t="s">
        <v>123</v>
      </c>
      <c r="J169" s="1" t="s">
        <v>100</v>
      </c>
      <c r="K169">
        <f>+L169*B2</f>
        <v>2117064.237438728</v>
      </c>
      <c r="L169" s="17">
        <f>SQRT(R169)</f>
        <v>336940.45031810674</v>
      </c>
      <c r="M169" s="1" t="s">
        <v>42</v>
      </c>
      <c r="N169" s="1" t="s">
        <v>45</v>
      </c>
      <c r="O169" s="1" t="s">
        <v>43</v>
      </c>
      <c r="P169" s="1" t="s">
        <v>125</v>
      </c>
      <c r="Q169" s="1" t="s">
        <v>43</v>
      </c>
      <c r="R169">
        <f>+G170/B2</f>
        <v>113528867060.56857</v>
      </c>
    </row>
    <row r="170" spans="1:17" ht="18.75">
      <c r="A170" s="17" t="s">
        <v>121</v>
      </c>
      <c r="D170" s="17">
        <f>+G170*H2</f>
        <v>1.6977124944856154E+30</v>
      </c>
      <c r="E170" s="17">
        <f>+D170/E2</f>
        <v>0.8535507765136328</v>
      </c>
      <c r="F170" s="17">
        <f>+H2/(G170*L69)</f>
        <v>9.778484808450948</v>
      </c>
      <c r="G170" s="17">
        <f>+K170*L170*L170</f>
        <v>713324577514.9645</v>
      </c>
      <c r="H170" s="17">
        <f>+G170/A2/B2</f>
        <v>758.8936063098264</v>
      </c>
      <c r="I170" s="17" t="s">
        <v>122</v>
      </c>
      <c r="J170">
        <v>0.32</v>
      </c>
      <c r="K170">
        <f>+J170*A2*B2</f>
        <v>300785067.77088</v>
      </c>
      <c r="L170" s="17">
        <f>+K170/M170</f>
        <v>48.69848580518913</v>
      </c>
      <c r="M170">
        <f>+N170*C2</f>
        <v>6176476.8</v>
      </c>
      <c r="N170">
        <v>71.487</v>
      </c>
      <c r="O170">
        <f>+N170/D2</f>
        <v>0.1957207392197125</v>
      </c>
      <c r="P170">
        <f>+F2*6.292</f>
        <v>1.1948508E+28</v>
      </c>
      <c r="Q170" s="17">
        <f>+P170/H2</f>
        <v>5020381512.605042</v>
      </c>
    </row>
    <row r="171" spans="9:18" ht="18.75">
      <c r="I171" s="17" t="s">
        <v>124</v>
      </c>
      <c r="J171" s="17">
        <f>+K171/A2/B2</f>
        <v>2.2523078057067707</v>
      </c>
      <c r="K171">
        <f>+K169*1000</f>
        <v>2117064237.438728</v>
      </c>
      <c r="L171" s="17">
        <f>SQRT(R171)</f>
        <v>18.355937740091267</v>
      </c>
      <c r="M171">
        <f>+K171/L171</f>
        <v>115334028.00854139</v>
      </c>
      <c r="N171">
        <f>+M171/C2</f>
        <v>1334.8845834321921</v>
      </c>
      <c r="O171" s="3">
        <f>+N171/D2</f>
        <v>3.6547148074803344</v>
      </c>
      <c r="P171" s="1" t="s">
        <v>109</v>
      </c>
      <c r="Q171" s="1" t="s">
        <v>112</v>
      </c>
      <c r="R171">
        <f>+G170/K171</f>
        <v>336.94045031810685</v>
      </c>
    </row>
    <row r="172" spans="1:18" ht="18.75">
      <c r="A172" s="9" t="s">
        <v>10</v>
      </c>
      <c r="B172" s="9" t="s">
        <v>11</v>
      </c>
      <c r="C172" s="9" t="s">
        <v>12</v>
      </c>
      <c r="D172" s="9" t="s">
        <v>13</v>
      </c>
      <c r="E172" s="9" t="s">
        <v>14</v>
      </c>
      <c r="F172" s="9" t="s">
        <v>15</v>
      </c>
      <c r="G172" s="9" t="s">
        <v>16</v>
      </c>
      <c r="H172" s="9" t="s">
        <v>17</v>
      </c>
      <c r="I172" s="14" t="s">
        <v>18</v>
      </c>
      <c r="J172" s="14" t="s">
        <v>19</v>
      </c>
      <c r="K172" s="14" t="s">
        <v>20</v>
      </c>
      <c r="L172" s="14" t="s">
        <v>21</v>
      </c>
      <c r="M172" s="14" t="s">
        <v>22</v>
      </c>
      <c r="N172" s="14" t="s">
        <v>23</v>
      </c>
      <c r="O172" s="14" t="s">
        <v>24</v>
      </c>
      <c r="P172" s="14" t="s">
        <v>25</v>
      </c>
      <c r="Q172" s="14" t="s">
        <v>26</v>
      </c>
      <c r="R172" s="13" t="s">
        <v>27</v>
      </c>
    </row>
    <row r="173" spans="1:18" ht="18.75">
      <c r="A173" s="11"/>
      <c r="B173" s="12"/>
      <c r="C173" s="11" t="s">
        <v>28</v>
      </c>
      <c r="D173" s="11" t="s">
        <v>29</v>
      </c>
      <c r="E173" s="11"/>
      <c r="F173" s="11" t="s">
        <v>30</v>
      </c>
      <c r="G173" s="11" t="s">
        <v>31</v>
      </c>
      <c r="H173" s="11" t="s">
        <v>32</v>
      </c>
      <c r="I173" s="14" t="s">
        <v>33</v>
      </c>
      <c r="J173" s="10" t="s">
        <v>34</v>
      </c>
      <c r="K173" s="14" t="s">
        <v>31</v>
      </c>
      <c r="L173" s="14" t="s">
        <v>35</v>
      </c>
      <c r="M173" s="15"/>
      <c r="N173" s="10" t="s">
        <v>34</v>
      </c>
      <c r="O173" s="15"/>
      <c r="P173" s="10" t="s">
        <v>34</v>
      </c>
      <c r="Q173" s="15"/>
      <c r="R173" s="1"/>
    </row>
    <row r="174" spans="1:18" ht="18.75">
      <c r="A174" s="17" t="s">
        <v>126</v>
      </c>
      <c r="B174" s="17" t="s">
        <v>104</v>
      </c>
      <c r="C174" s="17">
        <v>88.18</v>
      </c>
      <c r="D174" s="17">
        <f>+G174*H2</f>
        <v>2.4068896745437848E+30</v>
      </c>
      <c r="E174" s="17">
        <f>+D174/E2</f>
        <v>1.2101003894136677</v>
      </c>
      <c r="F174" s="17">
        <f>+H2/(G174*L174)</f>
        <v>5.866087799010146</v>
      </c>
      <c r="G174" s="17">
        <f>+K175*L175*L175</f>
        <v>1011298182581.4221</v>
      </c>
      <c r="H174" s="17">
        <f>+G174/A2/B2</f>
        <v>1075.9025400574933</v>
      </c>
      <c r="I174" s="17" t="s">
        <v>39</v>
      </c>
      <c r="J174" s="1" t="s">
        <v>45</v>
      </c>
      <c r="K174">
        <f>+L174*B2</f>
        <v>2520751.6221943786</v>
      </c>
      <c r="L174" s="17">
        <f>SQRT(R174)</f>
        <v>401189.1428244173</v>
      </c>
      <c r="M174" s="1" t="s">
        <v>47</v>
      </c>
      <c r="N174" s="1" t="s">
        <v>86</v>
      </c>
      <c r="O174" s="1" t="s">
        <v>110</v>
      </c>
      <c r="P174" s="1" t="s">
        <v>52</v>
      </c>
      <c r="Q174" s="1" t="s">
        <v>45</v>
      </c>
      <c r="R174">
        <f>+G174/B2</f>
        <v>160952728320.19067</v>
      </c>
    </row>
    <row r="175" spans="9:17" ht="18.75">
      <c r="I175" s="17" t="s">
        <v>40</v>
      </c>
      <c r="J175">
        <v>0.0443</v>
      </c>
      <c r="K175">
        <f>+J175*A2*B2</f>
        <v>41639932.819531195</v>
      </c>
      <c r="L175" s="17">
        <f>+K175/M175</f>
        <v>155.8420323700142</v>
      </c>
      <c r="M175">
        <f>+N175*C2</f>
        <v>267193.2096</v>
      </c>
      <c r="N175">
        <v>3.092514</v>
      </c>
      <c r="O175">
        <f>+N175/D2</f>
        <v>0.008466841889117043</v>
      </c>
      <c r="P175">
        <f>+F2*0.916</f>
        <v>1.7394840000000002E+27</v>
      </c>
      <c r="Q175" s="17">
        <f>+P175/H2</f>
        <v>730875630.252101</v>
      </c>
    </row>
    <row r="176" spans="9:18" ht="18.75">
      <c r="I176" s="17" t="s">
        <v>41</v>
      </c>
      <c r="J176" s="17">
        <f>+K176/A2/B2</f>
        <v>2.6817837902666484</v>
      </c>
      <c r="K176">
        <f>+K174*1000</f>
        <v>2520751622.194379</v>
      </c>
      <c r="L176" s="17">
        <f>SQRT(R176)</f>
        <v>20.029706508693963</v>
      </c>
      <c r="M176">
        <f>+K176/L176</f>
        <v>125850651.9354259</v>
      </c>
      <c r="N176">
        <f>+M176/C2</f>
        <v>1456.604767771133</v>
      </c>
      <c r="O176" s="17">
        <f>+N176/D2</f>
        <v>3.9879665099825683</v>
      </c>
      <c r="P176" s="1" t="s">
        <v>47</v>
      </c>
      <c r="Q176" s="1" t="s">
        <v>63</v>
      </c>
      <c r="R176">
        <f>+G174/K176</f>
        <v>401.1891428244172</v>
      </c>
    </row>
    <row r="177" spans="1:18" ht="18.75">
      <c r="A177" s="9" t="s">
        <v>10</v>
      </c>
      <c r="B177" s="9" t="s">
        <v>11</v>
      </c>
      <c r="C177" s="9" t="s">
        <v>12</v>
      </c>
      <c r="D177" s="9" t="s">
        <v>13</v>
      </c>
      <c r="E177" s="9" t="s">
        <v>14</v>
      </c>
      <c r="F177" s="9" t="s">
        <v>15</v>
      </c>
      <c r="G177" s="9" t="s">
        <v>16</v>
      </c>
      <c r="H177" s="9" t="s">
        <v>17</v>
      </c>
      <c r="I177" s="14" t="s">
        <v>18</v>
      </c>
      <c r="J177" s="14" t="s">
        <v>19</v>
      </c>
      <c r="K177" s="14" t="s">
        <v>20</v>
      </c>
      <c r="L177" s="14" t="s">
        <v>21</v>
      </c>
      <c r="M177" s="14" t="s">
        <v>22</v>
      </c>
      <c r="N177" s="14" t="s">
        <v>23</v>
      </c>
      <c r="O177" s="14" t="s">
        <v>24</v>
      </c>
      <c r="P177" s="14" t="s">
        <v>25</v>
      </c>
      <c r="Q177" s="14" t="s">
        <v>26</v>
      </c>
      <c r="R177" s="13" t="s">
        <v>27</v>
      </c>
    </row>
    <row r="178" spans="1:18" ht="18.75">
      <c r="A178" s="11"/>
      <c r="B178" s="12"/>
      <c r="C178" s="11" t="s">
        <v>28</v>
      </c>
      <c r="D178" s="11" t="s">
        <v>29</v>
      </c>
      <c r="E178" s="11"/>
      <c r="F178" s="11" t="s">
        <v>30</v>
      </c>
      <c r="G178" s="11" t="s">
        <v>31</v>
      </c>
      <c r="H178" s="11" t="s">
        <v>32</v>
      </c>
      <c r="I178" s="14" t="s">
        <v>33</v>
      </c>
      <c r="J178" s="10" t="s">
        <v>34</v>
      </c>
      <c r="K178" s="14" t="s">
        <v>31</v>
      </c>
      <c r="L178" s="14" t="s">
        <v>35</v>
      </c>
      <c r="M178" s="15"/>
      <c r="N178" s="10" t="s">
        <v>34</v>
      </c>
      <c r="O178" s="15"/>
      <c r="P178" s="10" t="s">
        <v>34</v>
      </c>
      <c r="Q178" s="15"/>
      <c r="R178" s="1"/>
    </row>
    <row r="179" spans="1:18" ht="18.75">
      <c r="A179" s="17" t="s">
        <v>127</v>
      </c>
      <c r="B179" s="17" t="s">
        <v>128</v>
      </c>
      <c r="C179" s="17">
        <v>173</v>
      </c>
      <c r="D179" s="17">
        <f>+G179*H2</f>
        <v>2.3115620502293814E+30</v>
      </c>
      <c r="E179" s="17">
        <f>+D179/E2</f>
        <v>1.1621729764853603</v>
      </c>
      <c r="F179" s="17">
        <f>+H2/(G179*L179)</f>
        <v>6.232675278283504</v>
      </c>
      <c r="G179" s="17">
        <f>+K180*L180*L180</f>
        <v>971244558919.9082</v>
      </c>
      <c r="H179" s="17">
        <f>+G179/A2/B2</f>
        <v>1033.2901867692383</v>
      </c>
      <c r="I179" s="17" t="s">
        <v>39</v>
      </c>
      <c r="J179" s="1" t="s">
        <v>42</v>
      </c>
      <c r="K179">
        <f>+L179*B2</f>
        <v>2470328.685135961</v>
      </c>
      <c r="L179" s="17">
        <f>SQRT(R179)</f>
        <v>393164.10191239516</v>
      </c>
      <c r="M179" s="1" t="s">
        <v>47</v>
      </c>
      <c r="N179" s="1" t="s">
        <v>109</v>
      </c>
      <c r="O179" s="1" t="s">
        <v>42</v>
      </c>
      <c r="P179" s="1" t="s">
        <v>43</v>
      </c>
      <c r="Q179" s="1" t="s">
        <v>46</v>
      </c>
      <c r="R179">
        <f>+G179/B2</f>
        <v>154578011032.58026</v>
      </c>
    </row>
    <row r="180" spans="9:17" ht="18.75">
      <c r="I180" s="17" t="s">
        <v>40</v>
      </c>
      <c r="J180">
        <v>1.52</v>
      </c>
      <c r="K180">
        <f>+J180*A2*B2</f>
        <v>1428729071.91168</v>
      </c>
      <c r="L180" s="17">
        <f>+K180/M180</f>
        <v>26.07290117163945</v>
      </c>
      <c r="M180">
        <f>+N180*C2</f>
        <v>54797472</v>
      </c>
      <c r="N180">
        <v>634.23</v>
      </c>
      <c r="O180">
        <f>+N180/D2</f>
        <v>1.7364271047227926</v>
      </c>
      <c r="P180">
        <f>+F2*3.69</f>
        <v>7.00731E+27</v>
      </c>
      <c r="Q180" s="17">
        <f>+P180/H2</f>
        <v>2944247899.159664</v>
      </c>
    </row>
    <row r="181" spans="9:18" ht="18.75">
      <c r="I181" s="17" t="s">
        <v>41</v>
      </c>
      <c r="J181" s="17">
        <f>+K181/A2/B2</f>
        <v>2.6281397048794553</v>
      </c>
      <c r="K181">
        <f>+K179*1000</f>
        <v>2470328685.135961</v>
      </c>
      <c r="L181" s="17">
        <f>SQRT(R181)</f>
        <v>19.82836609285786</v>
      </c>
      <c r="M181">
        <f>+K181/L181</f>
        <v>124585589.83464447</v>
      </c>
      <c r="N181">
        <f>+M181/C2</f>
        <v>1441.962845308385</v>
      </c>
      <c r="O181" s="3">
        <f>+N181/D2</f>
        <v>3.9478791110428064</v>
      </c>
      <c r="P181" s="1" t="s">
        <v>44</v>
      </c>
      <c r="Q181" s="1" t="s">
        <v>43</v>
      </c>
      <c r="R181">
        <f>+G179/K181</f>
        <v>393.1641019123952</v>
      </c>
    </row>
    <row r="182" spans="1:18" ht="18.75">
      <c r="A182" s="9" t="s">
        <v>10</v>
      </c>
      <c r="B182" s="9" t="s">
        <v>11</v>
      </c>
      <c r="C182" s="9" t="s">
        <v>12</v>
      </c>
      <c r="D182" s="9" t="s">
        <v>13</v>
      </c>
      <c r="E182" s="9" t="s">
        <v>14</v>
      </c>
      <c r="F182" s="9" t="s">
        <v>15</v>
      </c>
      <c r="G182" s="9" t="s">
        <v>16</v>
      </c>
      <c r="H182" s="9" t="s">
        <v>17</v>
      </c>
      <c r="I182" s="14" t="s">
        <v>18</v>
      </c>
      <c r="J182" s="14" t="s">
        <v>19</v>
      </c>
      <c r="K182" s="14" t="s">
        <v>20</v>
      </c>
      <c r="L182" s="14" t="s">
        <v>21</v>
      </c>
      <c r="M182" s="14" t="s">
        <v>22</v>
      </c>
      <c r="N182" s="14" t="s">
        <v>23</v>
      </c>
      <c r="O182" s="14" t="s">
        <v>24</v>
      </c>
      <c r="P182" s="14" t="s">
        <v>25</v>
      </c>
      <c r="Q182" s="14" t="s">
        <v>26</v>
      </c>
      <c r="R182" s="13" t="s">
        <v>27</v>
      </c>
    </row>
    <row r="183" spans="1:18" ht="18.75">
      <c r="A183" s="11"/>
      <c r="B183" s="12"/>
      <c r="C183" s="11" t="s">
        <v>28</v>
      </c>
      <c r="D183" s="11" t="s">
        <v>29</v>
      </c>
      <c r="E183" s="11"/>
      <c r="F183" s="11" t="s">
        <v>30</v>
      </c>
      <c r="G183" s="11" t="s">
        <v>31</v>
      </c>
      <c r="H183" s="11" t="s">
        <v>32</v>
      </c>
      <c r="I183" s="14" t="s">
        <v>33</v>
      </c>
      <c r="J183" s="10" t="s">
        <v>34</v>
      </c>
      <c r="K183" s="14" t="s">
        <v>31</v>
      </c>
      <c r="L183" s="14" t="s">
        <v>35</v>
      </c>
      <c r="M183" s="15"/>
      <c r="N183" s="10" t="s">
        <v>34</v>
      </c>
      <c r="O183" s="15"/>
      <c r="P183" s="10" t="s">
        <v>34</v>
      </c>
      <c r="Q183" s="15"/>
      <c r="R183" s="1"/>
    </row>
    <row r="184" spans="1:18" ht="18.75">
      <c r="A184" s="17" t="s">
        <v>129</v>
      </c>
      <c r="B184" s="17" t="s">
        <v>130</v>
      </c>
      <c r="C184" s="17">
        <v>354</v>
      </c>
      <c r="D184" s="17">
        <f>+G184*H2</f>
        <v>2.561979473336724E+30</v>
      </c>
      <c r="E184" s="17">
        <f>+D184/E2</f>
        <v>1.288074144462908</v>
      </c>
      <c r="F184" s="17">
        <f>+H2/(G184*L184)</f>
        <v>5.341575433273221</v>
      </c>
      <c r="G184" s="17">
        <f>+K185*L185*L185</f>
        <v>1076461963586.8588</v>
      </c>
      <c r="H184" s="17">
        <f>+G184/A2/B2</f>
        <v>1145.2291528321136</v>
      </c>
      <c r="I184" s="17" t="s">
        <v>39</v>
      </c>
      <c r="J184" s="1" t="s">
        <v>44</v>
      </c>
      <c r="K184">
        <f>+L184*B2</f>
        <v>2600697.1776062185</v>
      </c>
      <c r="L184" s="17">
        <f>SQRT(R184)</f>
        <v>413912.8433928919</v>
      </c>
      <c r="M184" s="1" t="s">
        <v>131</v>
      </c>
      <c r="N184" s="1" t="s">
        <v>42</v>
      </c>
      <c r="O184" s="1" t="s">
        <v>43</v>
      </c>
      <c r="P184" s="1" t="s">
        <v>43</v>
      </c>
      <c r="Q184" s="1" t="s">
        <v>43</v>
      </c>
      <c r="R184">
        <f>+G184/B2</f>
        <v>171323841925.58868</v>
      </c>
    </row>
    <row r="185" spans="9:17" ht="18.75">
      <c r="I185" s="17" t="s">
        <v>40</v>
      </c>
      <c r="J185">
        <v>0.58</v>
      </c>
      <c r="K185">
        <f>+J185*A2*B2</f>
        <v>545172935.3347199</v>
      </c>
      <c r="L185" s="17">
        <f>+K185/M185</f>
        <v>44.43571786439749</v>
      </c>
      <c r="M185">
        <f>+N185*C2</f>
        <v>12268800</v>
      </c>
      <c r="N185">
        <v>142</v>
      </c>
      <c r="O185">
        <f>+N185/D2</f>
        <v>0.3887748117727584</v>
      </c>
      <c r="P185">
        <f>+F2*1.08</f>
        <v>2.0509200000000003E+27</v>
      </c>
      <c r="Q185" s="17">
        <f>+P185/H2</f>
        <v>861731092.4369749</v>
      </c>
    </row>
    <row r="186" spans="9:18" ht="18.75">
      <c r="I186" s="17" t="s">
        <v>41</v>
      </c>
      <c r="J186" s="17">
        <f>+K186/A2/B2</f>
        <v>2.7668364756322523</v>
      </c>
      <c r="K186">
        <f>+K184*1000</f>
        <v>2600697177.6062183</v>
      </c>
      <c r="L186" s="17">
        <f>SQRT(R186)</f>
        <v>20.34484807986759</v>
      </c>
      <c r="M186">
        <f>+K186/L186</f>
        <v>127830749.45542403</v>
      </c>
      <c r="N186">
        <f>+M186/C2</f>
        <v>1479.5225631414817</v>
      </c>
      <c r="O186" s="3">
        <f>+N186/D2</f>
        <v>4.05071201407661</v>
      </c>
      <c r="P186" s="1" t="s">
        <v>47</v>
      </c>
      <c r="Q186" s="1" t="s">
        <v>51</v>
      </c>
      <c r="R186">
        <f>+G184/K186</f>
        <v>413.91284339289194</v>
      </c>
    </row>
    <row r="187" spans="1:18" ht="18.75">
      <c r="A187" s="9" t="s">
        <v>10</v>
      </c>
      <c r="B187" s="9" t="s">
        <v>11</v>
      </c>
      <c r="C187" s="9" t="s">
        <v>12</v>
      </c>
      <c r="D187" s="9" t="s">
        <v>13</v>
      </c>
      <c r="E187" s="9" t="s">
        <v>14</v>
      </c>
      <c r="F187" s="9" t="s">
        <v>15</v>
      </c>
      <c r="G187" s="9" t="s">
        <v>16</v>
      </c>
      <c r="H187" s="9" t="s">
        <v>17</v>
      </c>
      <c r="I187" s="14" t="s">
        <v>18</v>
      </c>
      <c r="J187" s="14" t="s">
        <v>19</v>
      </c>
      <c r="K187" s="14" t="s">
        <v>20</v>
      </c>
      <c r="L187" s="14" t="s">
        <v>21</v>
      </c>
      <c r="M187" s="14" t="s">
        <v>22</v>
      </c>
      <c r="N187" s="14" t="s">
        <v>23</v>
      </c>
      <c r="O187" s="14" t="s">
        <v>24</v>
      </c>
      <c r="P187" s="14" t="s">
        <v>25</v>
      </c>
      <c r="Q187" s="14" t="s">
        <v>26</v>
      </c>
      <c r="R187" s="13" t="s">
        <v>27</v>
      </c>
    </row>
    <row r="188" spans="1:18" ht="18.75">
      <c r="A188" s="11"/>
      <c r="B188" s="12"/>
      <c r="C188" s="11" t="s">
        <v>28</v>
      </c>
      <c r="D188" s="11" t="s">
        <v>29</v>
      </c>
      <c r="E188" s="11"/>
      <c r="F188" s="11" t="s">
        <v>30</v>
      </c>
      <c r="G188" s="11" t="s">
        <v>31</v>
      </c>
      <c r="H188" s="11" t="s">
        <v>32</v>
      </c>
      <c r="I188" s="14" t="s">
        <v>33</v>
      </c>
      <c r="J188" s="10" t="s">
        <v>34</v>
      </c>
      <c r="K188" s="14" t="s">
        <v>31</v>
      </c>
      <c r="L188" s="14" t="s">
        <v>35</v>
      </c>
      <c r="M188" s="15"/>
      <c r="N188" s="10" t="s">
        <v>34</v>
      </c>
      <c r="O188" s="15"/>
      <c r="P188" s="10" t="s">
        <v>34</v>
      </c>
      <c r="Q188" s="15"/>
      <c r="R188" s="1"/>
    </row>
    <row r="189" spans="1:18" ht="18.75">
      <c r="A189" s="17" t="s">
        <v>132</v>
      </c>
      <c r="B189" s="17" t="s">
        <v>133</v>
      </c>
      <c r="C189" s="17">
        <v>153</v>
      </c>
      <c r="D189" s="17">
        <f>+G189*H2</f>
        <v>2.5851296958611054E+30</v>
      </c>
      <c r="E189" s="17">
        <f>+D189/E2</f>
        <v>1.2997132709206163</v>
      </c>
      <c r="F189" s="17">
        <f>+H2/(G189*L189)</f>
        <v>5.269984402420528</v>
      </c>
      <c r="G189" s="17">
        <f>+K190*L190*L190</f>
        <v>1086188947840.8005</v>
      </c>
      <c r="H189" s="17">
        <f>+G189/A2/B2</f>
        <v>1155.5775221322558</v>
      </c>
      <c r="I189" s="17" t="s">
        <v>39</v>
      </c>
      <c r="J189" s="1" t="s">
        <v>112</v>
      </c>
      <c r="K189">
        <f>+L189*B2</f>
        <v>2612420.79249751</v>
      </c>
      <c r="L189" s="17">
        <f>SQRT(R189)</f>
        <v>415778.71029053826</v>
      </c>
      <c r="M189" s="1" t="s">
        <v>44</v>
      </c>
      <c r="N189" s="1" t="s">
        <v>47</v>
      </c>
      <c r="O189" s="1" t="s">
        <v>45</v>
      </c>
      <c r="P189" s="1" t="s">
        <v>44</v>
      </c>
      <c r="Q189" s="1" t="s">
        <v>51</v>
      </c>
      <c r="R189">
        <f>+G189/B2</f>
        <v>172871935930.86334</v>
      </c>
    </row>
    <row r="190" spans="9:17" ht="18.75">
      <c r="I190" s="17" t="s">
        <v>40</v>
      </c>
      <c r="J190">
        <v>0.077</v>
      </c>
      <c r="K190">
        <f>+J190*A2*B2</f>
        <v>72376406.932368</v>
      </c>
      <c r="L190" s="17">
        <f>+K190/M190</f>
        <v>122.50510310771506</v>
      </c>
      <c r="M190">
        <f>+N190*C2</f>
        <v>590803.2</v>
      </c>
      <c r="N190">
        <v>6.838</v>
      </c>
      <c r="O190">
        <f>+N190/D2</f>
        <v>0.01872142368240931</v>
      </c>
      <c r="P190">
        <f>+F2*0.94</f>
        <v>1.78506E+27</v>
      </c>
      <c r="Q190" s="17">
        <f>+P190/H2</f>
        <v>750025210.0840336</v>
      </c>
    </row>
    <row r="191" spans="9:18" ht="18.75">
      <c r="I191" s="17" t="s">
        <v>41</v>
      </c>
      <c r="J191" s="17">
        <f>+K191/A2/B2</f>
        <v>2.779309025526488</v>
      </c>
      <c r="K191">
        <f>+K189*1000</f>
        <v>2612420792.49751</v>
      </c>
      <c r="L191" s="17">
        <f>SQRT(R191)</f>
        <v>20.390652522431406</v>
      </c>
      <c r="M191">
        <f>+K191/L191</f>
        <v>128118547.92894101</v>
      </c>
      <c r="N191">
        <f>+M191/C2</f>
        <v>1482.8535639923728</v>
      </c>
      <c r="O191" s="3">
        <f>+N191/D2</f>
        <v>4.05983179737816</v>
      </c>
      <c r="P191" s="1" t="s">
        <v>43</v>
      </c>
      <c r="Q191" s="1" t="s">
        <v>51</v>
      </c>
      <c r="R191">
        <f>+G189/K191</f>
        <v>415.77871029053824</v>
      </c>
    </row>
    <row r="192" spans="1:18" ht="18.75">
      <c r="A192" s="9" t="s">
        <v>10</v>
      </c>
      <c r="B192" s="9" t="s">
        <v>11</v>
      </c>
      <c r="C192" s="9" t="s">
        <v>12</v>
      </c>
      <c r="D192" s="9" t="s">
        <v>13</v>
      </c>
      <c r="E192" s="9" t="s">
        <v>14</v>
      </c>
      <c r="F192" s="9" t="s">
        <v>15</v>
      </c>
      <c r="G192" s="9" t="s">
        <v>16</v>
      </c>
      <c r="H192" s="9" t="s">
        <v>17</v>
      </c>
      <c r="I192" s="14" t="s">
        <v>18</v>
      </c>
      <c r="J192" s="14" t="s">
        <v>19</v>
      </c>
      <c r="K192" s="14" t="s">
        <v>20</v>
      </c>
      <c r="L192" s="14" t="s">
        <v>21</v>
      </c>
      <c r="M192" s="14" t="s">
        <v>22</v>
      </c>
      <c r="N192" s="14" t="s">
        <v>23</v>
      </c>
      <c r="O192" s="14" t="s">
        <v>24</v>
      </c>
      <c r="P192" s="14" t="s">
        <v>25</v>
      </c>
      <c r="Q192" s="14" t="s">
        <v>26</v>
      </c>
      <c r="R192" s="13" t="s">
        <v>27</v>
      </c>
    </row>
    <row r="193" spans="1:18" ht="18.75">
      <c r="A193" s="11"/>
      <c r="B193" s="12"/>
      <c r="C193" s="11" t="s">
        <v>28</v>
      </c>
      <c r="D193" s="11" t="s">
        <v>29</v>
      </c>
      <c r="E193" s="11"/>
      <c r="F193" s="11" t="s">
        <v>30</v>
      </c>
      <c r="G193" s="11" t="s">
        <v>31</v>
      </c>
      <c r="H193" s="11" t="s">
        <v>32</v>
      </c>
      <c r="I193" s="14" t="s">
        <v>33</v>
      </c>
      <c r="J193" s="10" t="s">
        <v>34</v>
      </c>
      <c r="K193" s="14" t="s">
        <v>31</v>
      </c>
      <c r="L193" s="14" t="s">
        <v>35</v>
      </c>
      <c r="M193" s="15"/>
      <c r="N193" s="10" t="s">
        <v>34</v>
      </c>
      <c r="O193" s="15"/>
      <c r="P193" s="10" t="s">
        <v>34</v>
      </c>
      <c r="Q193" s="15"/>
      <c r="R193" s="1"/>
    </row>
    <row r="194" spans="1:18" ht="18.75">
      <c r="A194" s="17" t="s">
        <v>134</v>
      </c>
      <c r="B194" s="17" t="s">
        <v>133</v>
      </c>
      <c r="C194" s="17">
        <v>70.5</v>
      </c>
      <c r="D194" s="17">
        <f>+G194*H2</f>
        <v>1.9725210806795453E+30</v>
      </c>
      <c r="E194" s="17">
        <f>+D194/E2</f>
        <v>0.9917149726895653</v>
      </c>
      <c r="F194" s="17">
        <f>+H2/(G194*L194)</f>
        <v>7.906792737191908</v>
      </c>
      <c r="G194" s="17">
        <f>+K197*L197*L197</f>
        <v>828790370033.4224</v>
      </c>
      <c r="H194" s="17">
        <f>+G194/A2/B2</f>
        <v>881.735653887973</v>
      </c>
      <c r="I194" s="17" t="s">
        <v>140</v>
      </c>
      <c r="J194" s="1" t="s">
        <v>60</v>
      </c>
      <c r="K194">
        <f>+L194*B2</f>
        <v>2281985.0247085323</v>
      </c>
      <c r="L194" s="17">
        <f>SQRT(R194)</f>
        <v>363188.3474517017</v>
      </c>
      <c r="M194" s="1" t="s">
        <v>44</v>
      </c>
      <c r="N194" s="1" t="s">
        <v>110</v>
      </c>
      <c r="O194" s="1" t="s">
        <v>86</v>
      </c>
      <c r="P194" s="1" t="s">
        <v>45</v>
      </c>
      <c r="Q194" s="1" t="s">
        <v>53</v>
      </c>
      <c r="R194">
        <f>+G194/B2</f>
        <v>131905775724.69798</v>
      </c>
    </row>
    <row r="195" spans="1:18" ht="18.75">
      <c r="A195" s="17" t="s">
        <v>142</v>
      </c>
      <c r="I195" s="17" t="s">
        <v>135</v>
      </c>
      <c r="J195">
        <v>73</v>
      </c>
      <c r="K195">
        <f>+J195*A2*B2</f>
        <v>68616593585.232</v>
      </c>
      <c r="L195" s="17">
        <f>SQRT(R195)</f>
        <v>3.47542380166867</v>
      </c>
      <c r="M195">
        <f>+K195/L195</f>
        <v>19743374477.75055</v>
      </c>
      <c r="N195">
        <f>+M195/C2</f>
        <v>228511.2786776684</v>
      </c>
      <c r="O195" s="17">
        <f>+N195/D2</f>
        <v>625.6297841962173</v>
      </c>
      <c r="P195" s="1" t="s">
        <v>45</v>
      </c>
      <c r="Q195" s="1" t="s">
        <v>44</v>
      </c>
      <c r="R195">
        <f>+G194/K195</f>
        <v>12.07857060120511</v>
      </c>
    </row>
    <row r="196" spans="9:18" ht="18.75">
      <c r="I196" s="17" t="s">
        <v>141</v>
      </c>
      <c r="J196" s="17">
        <f>+K196/A2/B2</f>
        <v>2.4277641616936236</v>
      </c>
      <c r="K196">
        <f>+K194*1000</f>
        <v>2281985024.7085323</v>
      </c>
      <c r="L196" s="17">
        <f>SQRT(R196)</f>
        <v>19.057501080983876</v>
      </c>
      <c r="M196">
        <f>+K196/L196</f>
        <v>119742090.79203793</v>
      </c>
      <c r="N196">
        <f>+M196/C2</f>
        <v>1385.9038286115501</v>
      </c>
      <c r="O196" s="17">
        <f>+N196/D2</f>
        <v>3.7943978880535254</v>
      </c>
      <c r="P196" s="1" t="s">
        <v>110</v>
      </c>
      <c r="Q196" s="1" t="s">
        <v>86</v>
      </c>
      <c r="R196" s="1">
        <f>+G194/K196</f>
        <v>363.18834745170165</v>
      </c>
    </row>
    <row r="197" spans="1:18" ht="21">
      <c r="A197" s="18" t="s">
        <v>136</v>
      </c>
      <c r="B197" s="17" t="s">
        <v>133</v>
      </c>
      <c r="C197" s="17">
        <v>70.5</v>
      </c>
      <c r="D197" s="17">
        <f>+G197*H2</f>
        <v>1.9725210806795456E+30</v>
      </c>
      <c r="E197" s="17">
        <f>+D197/E2</f>
        <v>0.9917149726895654</v>
      </c>
      <c r="F197" s="17">
        <f>+H2/(G197*L198)</f>
        <v>7.906792737191906</v>
      </c>
      <c r="G197" s="17">
        <f>+Q197</f>
        <v>828790370033.4225</v>
      </c>
      <c r="H197" s="17">
        <f>+G197/A2/B2</f>
        <v>881.7356538879732</v>
      </c>
      <c r="I197" s="17" t="s">
        <v>136</v>
      </c>
      <c r="J197">
        <v>882</v>
      </c>
      <c r="K197">
        <f>+J197*A2*B2</f>
        <v>829038843043.488</v>
      </c>
      <c r="L197" s="17">
        <f>SQRT(R197)</f>
        <v>0.9998501326973182</v>
      </c>
      <c r="M197">
        <f>+K197/L197</f>
        <v>829163107481.8896</v>
      </c>
      <c r="N197">
        <f>+M197/C2</f>
        <v>9596795.225484833</v>
      </c>
      <c r="O197" s="17">
        <f>+N197/D2</f>
        <v>26274.593362039242</v>
      </c>
      <c r="P197">
        <f>+Q197*H2</f>
        <v>1.9725210806795456E+30</v>
      </c>
      <c r="Q197" s="17">
        <f>+K199*L199*L199</f>
        <v>828790370033.4225</v>
      </c>
      <c r="R197">
        <f>+Q197/K197</f>
        <v>0.9997002878548448</v>
      </c>
    </row>
    <row r="198" spans="9:18" ht="18.75">
      <c r="I198" s="17" t="s">
        <v>137</v>
      </c>
      <c r="J198" s="1" t="s">
        <v>139</v>
      </c>
      <c r="K198">
        <f>+L198*B2</f>
        <v>2281985.0247085323</v>
      </c>
      <c r="L198" s="17">
        <f>SQRT(R198)</f>
        <v>363188.3474517017</v>
      </c>
      <c r="M198" s="1" t="s">
        <v>46</v>
      </c>
      <c r="N198" s="1" t="s">
        <v>43</v>
      </c>
      <c r="O198" s="1" t="s">
        <v>51</v>
      </c>
      <c r="P198" s="1" t="s">
        <v>43</v>
      </c>
      <c r="Q198" s="1" t="s">
        <v>52</v>
      </c>
      <c r="R198">
        <f>+G197/B2</f>
        <v>131905775724.698</v>
      </c>
    </row>
    <row r="199" spans="9:17" ht="18.75">
      <c r="I199" s="17" t="s">
        <v>122</v>
      </c>
      <c r="J199">
        <v>1.681</v>
      </c>
      <c r="K199">
        <f>+J199*A2*B2</f>
        <v>1580061559.133904</v>
      </c>
      <c r="L199" s="17">
        <f>+K199/M199</f>
        <v>22.902629338776176</v>
      </c>
      <c r="M199">
        <f>+N199*C2</f>
        <v>68990400</v>
      </c>
      <c r="N199">
        <v>798.5</v>
      </c>
      <c r="O199">
        <f>+N199/D2</f>
        <v>2.186173853524983</v>
      </c>
      <c r="P199">
        <f>+F2*1.68</f>
        <v>3.19032E+27</v>
      </c>
      <c r="Q199" s="17">
        <f>+P199/H2</f>
        <v>1340470588.235294</v>
      </c>
    </row>
    <row r="200" spans="9:18" ht="18.75">
      <c r="I200" s="17" t="s">
        <v>138</v>
      </c>
      <c r="J200" s="17">
        <f>+K200/A2/B2</f>
        <v>2.4277641616936236</v>
      </c>
      <c r="K200">
        <f>+K198*1000</f>
        <v>2281985024.7085323</v>
      </c>
      <c r="L200" s="17">
        <f>SQRT(R200)</f>
        <v>19.05750108098388</v>
      </c>
      <c r="M200">
        <f>+K200/L200</f>
        <v>119742090.7920379</v>
      </c>
      <c r="N200">
        <f>+M200/C2</f>
        <v>1385.90382861155</v>
      </c>
      <c r="O200" s="3">
        <f>+N200/D2</f>
        <v>3.7943978880535245</v>
      </c>
      <c r="P200" s="1" t="s">
        <v>56</v>
      </c>
      <c r="Q200" s="1" t="s">
        <v>42</v>
      </c>
      <c r="R200">
        <f>+G197/K200</f>
        <v>363.1883474517017</v>
      </c>
    </row>
    <row r="201" spans="1:18" ht="18.75">
      <c r="A201" s="9" t="s">
        <v>10</v>
      </c>
      <c r="B201" s="9" t="s">
        <v>11</v>
      </c>
      <c r="C201" s="9" t="s">
        <v>12</v>
      </c>
      <c r="D201" s="9" t="s">
        <v>13</v>
      </c>
      <c r="E201" s="9" t="s">
        <v>14</v>
      </c>
      <c r="F201" s="9" t="s">
        <v>15</v>
      </c>
      <c r="G201" s="9" t="s">
        <v>16</v>
      </c>
      <c r="H201" s="9" t="s">
        <v>17</v>
      </c>
      <c r="I201" s="14" t="s">
        <v>18</v>
      </c>
      <c r="J201" s="14" t="s">
        <v>19</v>
      </c>
      <c r="K201" s="14" t="s">
        <v>20</v>
      </c>
      <c r="L201" s="14" t="s">
        <v>21</v>
      </c>
      <c r="M201" s="14" t="s">
        <v>22</v>
      </c>
      <c r="N201" s="14" t="s">
        <v>23</v>
      </c>
      <c r="O201" s="14" t="s">
        <v>24</v>
      </c>
      <c r="P201" s="14" t="s">
        <v>25</v>
      </c>
      <c r="Q201" s="14" t="s">
        <v>26</v>
      </c>
      <c r="R201" s="13" t="s">
        <v>27</v>
      </c>
    </row>
    <row r="202" spans="1:18" ht="18.75">
      <c r="A202" s="11"/>
      <c r="B202" s="12"/>
      <c r="C202" s="11" t="s">
        <v>28</v>
      </c>
      <c r="D202" s="11" t="s">
        <v>29</v>
      </c>
      <c r="E202" s="11"/>
      <c r="F202" s="11" t="s">
        <v>30</v>
      </c>
      <c r="G202" s="11" t="s">
        <v>31</v>
      </c>
      <c r="H202" s="11" t="s">
        <v>32</v>
      </c>
      <c r="I202" s="14" t="s">
        <v>33</v>
      </c>
      <c r="J202" s="10" t="s">
        <v>34</v>
      </c>
      <c r="K202" s="14" t="s">
        <v>31</v>
      </c>
      <c r="L202" s="14" t="s">
        <v>35</v>
      </c>
      <c r="M202" s="15"/>
      <c r="N202" s="10" t="s">
        <v>34</v>
      </c>
      <c r="O202" s="15"/>
      <c r="P202" s="10" t="s">
        <v>34</v>
      </c>
      <c r="Q202" s="15"/>
      <c r="R202" s="1"/>
    </row>
    <row r="203" spans="1:18" ht="18.75">
      <c r="A203" s="17" t="s">
        <v>143</v>
      </c>
      <c r="B203" s="17" t="s">
        <v>133</v>
      </c>
      <c r="C203" s="17">
        <v>156.28</v>
      </c>
      <c r="D203" s="17">
        <f>+G203*H2</f>
        <v>2.1567226552721842E+30</v>
      </c>
      <c r="E203" s="17">
        <f>+D203/E2</f>
        <v>1.0843251157728429</v>
      </c>
      <c r="F203" s="17">
        <f>+H2/(G203*L203)</f>
        <v>6.915783418313617</v>
      </c>
      <c r="G203" s="17">
        <f>+K204*L204*L204</f>
        <v>906185989610.1614</v>
      </c>
      <c r="H203" s="17">
        <f>+G203/A2/B2</f>
        <v>964.0755068869995</v>
      </c>
      <c r="I203" s="17" t="s">
        <v>39</v>
      </c>
      <c r="J203" s="1" t="s">
        <v>43</v>
      </c>
      <c r="K203" s="1">
        <f>+L203*B2</f>
        <v>2386157.540884207</v>
      </c>
      <c r="L203" s="17">
        <f>SQRT(R203)</f>
        <v>379767.87956522265</v>
      </c>
      <c r="M203" s="1" t="s">
        <v>62</v>
      </c>
      <c r="N203" s="1" t="s">
        <v>47</v>
      </c>
      <c r="O203" s="1" t="s">
        <v>70</v>
      </c>
      <c r="P203" s="1" t="s">
        <v>43</v>
      </c>
      <c r="Q203" s="1" t="s">
        <v>51</v>
      </c>
      <c r="R203">
        <f>+G203/B2</f>
        <v>144223642349.46545</v>
      </c>
    </row>
    <row r="204" spans="7:17" ht="18.75">
      <c r="G204">
        <f>+K204*L204*L204</f>
        <v>906185989610.1614</v>
      </c>
      <c r="I204" s="17" t="s">
        <v>40</v>
      </c>
      <c r="J204">
        <v>0.04275</v>
      </c>
      <c r="K204">
        <f>+J204*A2*B2</f>
        <v>40183005.147516005</v>
      </c>
      <c r="L204" s="17">
        <f>+K204/M204</f>
        <v>150.17148146472394</v>
      </c>
      <c r="M204">
        <f>+N204*C2</f>
        <v>267580.8</v>
      </c>
      <c r="N204">
        <v>3.097</v>
      </c>
      <c r="O204">
        <f>+N204/D2</f>
        <v>0.008479123887748118</v>
      </c>
      <c r="P204">
        <f>+F2*0.52</f>
        <v>9.874800000000001E+26</v>
      </c>
      <c r="Q204" s="17">
        <f>+P204/H2</f>
        <v>414907563.02521014</v>
      </c>
    </row>
    <row r="205" spans="7:17" ht="18.75">
      <c r="G205">
        <f>+K205*L205*L205</f>
        <v>906165226338.343</v>
      </c>
      <c r="I205" s="17" t="s">
        <v>73</v>
      </c>
      <c r="J205">
        <v>8.77</v>
      </c>
      <c r="K205">
        <f>+J205*A2*B2</f>
        <v>8243390763.595679</v>
      </c>
      <c r="L205" s="17">
        <f>+K205/M205</f>
        <v>10.484573112021367</v>
      </c>
      <c r="M205">
        <f>+N205*C2</f>
        <v>786240000</v>
      </c>
      <c r="N205">
        <v>9100</v>
      </c>
      <c r="O205">
        <f>+N205/D2</f>
        <v>24.914442162902123</v>
      </c>
      <c r="P205">
        <f>+F2*3.96</f>
        <v>7.52004E+27</v>
      </c>
      <c r="Q205" s="17">
        <f>+P205/H2</f>
        <v>3159680672.2689075</v>
      </c>
    </row>
    <row r="206" spans="9:18" ht="18.75">
      <c r="I206" s="17" t="s">
        <v>41</v>
      </c>
      <c r="J206" s="17">
        <f>+K206/A2/B2</f>
        <v>2.5385914890714862</v>
      </c>
      <c r="K206">
        <f>+K203*1000</f>
        <v>2386157540.884207</v>
      </c>
      <c r="L206" s="17">
        <f>SQRT(R206)</f>
        <v>19.487634016607114</v>
      </c>
      <c r="M206">
        <f>+K206/L206</f>
        <v>122444702.05314578</v>
      </c>
      <c r="N206">
        <f>+M206/C2</f>
        <v>1417.184051541039</v>
      </c>
      <c r="O206" s="3">
        <f>+N206/D2</f>
        <v>3.880038471022694</v>
      </c>
      <c r="P206" s="1" t="s">
        <v>60</v>
      </c>
      <c r="Q206" s="1" t="s">
        <v>43</v>
      </c>
      <c r="R206">
        <f>+G203/K206</f>
        <v>379.7678795652227</v>
      </c>
    </row>
    <row r="207" spans="1:18" ht="18.75">
      <c r="A207" s="9" t="s">
        <v>10</v>
      </c>
      <c r="B207" s="9" t="s">
        <v>11</v>
      </c>
      <c r="C207" s="9" t="s">
        <v>12</v>
      </c>
      <c r="D207" s="9" t="s">
        <v>13</v>
      </c>
      <c r="E207" s="9" t="s">
        <v>14</v>
      </c>
      <c r="F207" s="9" t="s">
        <v>15</v>
      </c>
      <c r="G207" s="9" t="s">
        <v>16</v>
      </c>
      <c r="H207" s="9" t="s">
        <v>17</v>
      </c>
      <c r="I207" s="14" t="s">
        <v>18</v>
      </c>
      <c r="J207" s="14" t="s">
        <v>19</v>
      </c>
      <c r="K207" s="14" t="s">
        <v>20</v>
      </c>
      <c r="L207" s="14" t="s">
        <v>21</v>
      </c>
      <c r="M207" s="14" t="s">
        <v>22</v>
      </c>
      <c r="N207" s="14" t="s">
        <v>23</v>
      </c>
      <c r="O207" s="14" t="s">
        <v>24</v>
      </c>
      <c r="P207" s="14" t="s">
        <v>25</v>
      </c>
      <c r="Q207" s="14" t="s">
        <v>26</v>
      </c>
      <c r="R207" s="13" t="s">
        <v>27</v>
      </c>
    </row>
    <row r="208" spans="1:18" ht="18.75">
      <c r="A208" s="11"/>
      <c r="B208" s="12"/>
      <c r="C208" s="11" t="s">
        <v>28</v>
      </c>
      <c r="D208" s="11" t="s">
        <v>29</v>
      </c>
      <c r="E208" s="11"/>
      <c r="F208" s="11" t="s">
        <v>30</v>
      </c>
      <c r="G208" s="11" t="s">
        <v>31</v>
      </c>
      <c r="H208" s="11" t="s">
        <v>32</v>
      </c>
      <c r="I208" s="14" t="s">
        <v>33</v>
      </c>
      <c r="J208" s="10" t="s">
        <v>34</v>
      </c>
      <c r="K208" s="14" t="s">
        <v>31</v>
      </c>
      <c r="L208" s="14" t="s">
        <v>35</v>
      </c>
      <c r="M208" s="15"/>
      <c r="N208" s="10" t="s">
        <v>34</v>
      </c>
      <c r="O208" s="15"/>
      <c r="P208" s="10" t="s">
        <v>34</v>
      </c>
      <c r="Q208" s="15"/>
      <c r="R208" s="1"/>
    </row>
    <row r="209" spans="1:18" ht="18.75">
      <c r="A209" s="17" t="s">
        <v>144</v>
      </c>
      <c r="B209" s="17" t="s">
        <v>104</v>
      </c>
      <c r="C209" s="17">
        <v>147</v>
      </c>
      <c r="D209" s="17">
        <f>+G209*H2</f>
        <v>2.3462598409640933E+30</v>
      </c>
      <c r="E209" s="17">
        <f>+D209/E2</f>
        <v>1.1796178184837072</v>
      </c>
      <c r="F209" s="17">
        <f>+H2/(G209*L209)</f>
        <v>6.094929321724819</v>
      </c>
      <c r="G209" s="17">
        <f>+K210*L210*L210</f>
        <v>985823462589.9552</v>
      </c>
      <c r="H209" s="17">
        <f>+G209/A2/B2</f>
        <v>1048.8004287137246</v>
      </c>
      <c r="I209" s="17" t="s">
        <v>39</v>
      </c>
      <c r="J209" s="1" t="s">
        <v>46</v>
      </c>
      <c r="K209">
        <f>+L209*B2</f>
        <v>2488800.1085151867</v>
      </c>
      <c r="L209" s="17">
        <f>SQRT(R209)</f>
        <v>396103.9133745841</v>
      </c>
      <c r="M209" s="1" t="s">
        <v>43</v>
      </c>
      <c r="N209" s="1" t="s">
        <v>60</v>
      </c>
      <c r="O209" s="1" t="s">
        <v>79</v>
      </c>
      <c r="P209" s="1" t="s">
        <v>51</v>
      </c>
      <c r="Q209" s="1" t="s">
        <v>63</v>
      </c>
      <c r="R209">
        <f>+G209/B2</f>
        <v>156898310190.66003</v>
      </c>
    </row>
    <row r="210" spans="9:17" ht="18.75">
      <c r="I210" s="17" t="s">
        <v>40</v>
      </c>
      <c r="J210">
        <v>2.05</v>
      </c>
      <c r="K210">
        <f>+J210*A2*B2</f>
        <v>1926904340.4071999</v>
      </c>
      <c r="L210" s="17">
        <f>+K210/M210</f>
        <v>22.618796723659003</v>
      </c>
      <c r="M210">
        <f>+N210*C2</f>
        <v>85190400</v>
      </c>
      <c r="N210">
        <v>986</v>
      </c>
      <c r="O210">
        <f>+N210/D2</f>
        <v>2.6995208761122518</v>
      </c>
      <c r="P210">
        <f>+F2*0.75</f>
        <v>1.42425E+27</v>
      </c>
      <c r="Q210" s="17">
        <f>+P210/H2</f>
        <v>598424369.7478992</v>
      </c>
    </row>
    <row r="211" spans="9:18" ht="18.75">
      <c r="I211" s="17" t="s">
        <v>41</v>
      </c>
      <c r="J211" s="17">
        <f>+K211/A2/B2</f>
        <v>2.647791130813454</v>
      </c>
      <c r="K211">
        <f>+K209*1000</f>
        <v>2488800108.515187</v>
      </c>
      <c r="L211" s="17">
        <f>SQRT(R211)</f>
        <v>19.902359492647705</v>
      </c>
      <c r="M211">
        <f>+K211/L211</f>
        <v>125050505.16420403</v>
      </c>
      <c r="N211">
        <f>+M211/C2</f>
        <v>1447.34380977088</v>
      </c>
      <c r="O211" s="3">
        <f>+N211/D2</f>
        <v>3.962611388831978</v>
      </c>
      <c r="P211" s="1" t="s">
        <v>52</v>
      </c>
      <c r="Q211" s="1" t="s">
        <v>47</v>
      </c>
      <c r="R211">
        <f>+G209/K211</f>
        <v>396.1039133745842</v>
      </c>
    </row>
    <row r="212" spans="1:18" ht="18.75">
      <c r="A212" s="9" t="s">
        <v>10</v>
      </c>
      <c r="B212" s="9" t="s">
        <v>11</v>
      </c>
      <c r="C212" s="9" t="s">
        <v>12</v>
      </c>
      <c r="D212" s="9" t="s">
        <v>13</v>
      </c>
      <c r="E212" s="9" t="s">
        <v>14</v>
      </c>
      <c r="F212" s="9" t="s">
        <v>15</v>
      </c>
      <c r="G212" s="9" t="s">
        <v>16</v>
      </c>
      <c r="H212" s="9" t="s">
        <v>17</v>
      </c>
      <c r="I212" s="14" t="s">
        <v>18</v>
      </c>
      <c r="J212" s="14" t="s">
        <v>19</v>
      </c>
      <c r="K212" s="14" t="s">
        <v>20</v>
      </c>
      <c r="L212" s="14" t="s">
        <v>21</v>
      </c>
      <c r="M212" s="14" t="s">
        <v>22</v>
      </c>
      <c r="N212" s="14" t="s">
        <v>23</v>
      </c>
      <c r="O212" s="14" t="s">
        <v>24</v>
      </c>
      <c r="P212" s="14" t="s">
        <v>25</v>
      </c>
      <c r="Q212" s="14" t="s">
        <v>26</v>
      </c>
      <c r="R212" s="13" t="s">
        <v>27</v>
      </c>
    </row>
    <row r="213" spans="1:18" ht="18.75">
      <c r="A213" s="11"/>
      <c r="B213" s="12"/>
      <c r="C213" s="11" t="s">
        <v>28</v>
      </c>
      <c r="D213" s="11" t="s">
        <v>29</v>
      </c>
      <c r="E213" s="11"/>
      <c r="F213" s="11" t="s">
        <v>30</v>
      </c>
      <c r="G213" s="11" t="s">
        <v>31</v>
      </c>
      <c r="H213" s="11" t="s">
        <v>32</v>
      </c>
      <c r="I213" s="14" t="s">
        <v>33</v>
      </c>
      <c r="J213" s="10" t="s">
        <v>34</v>
      </c>
      <c r="K213" s="14" t="s">
        <v>31</v>
      </c>
      <c r="L213" s="14" t="s">
        <v>35</v>
      </c>
      <c r="M213" s="15"/>
      <c r="N213" s="10" t="s">
        <v>34</v>
      </c>
      <c r="O213" s="15"/>
      <c r="P213" s="10" t="s">
        <v>34</v>
      </c>
      <c r="Q213" s="15"/>
      <c r="R213" s="1"/>
    </row>
    <row r="214" spans="1:18" ht="18.75">
      <c r="A214" s="17" t="s">
        <v>145</v>
      </c>
      <c r="B214" s="17" t="s">
        <v>146</v>
      </c>
      <c r="C214" s="17">
        <v>171.66</v>
      </c>
      <c r="D214" s="17">
        <f>+G214*H2</f>
        <v>1.7502204929312395E+30</v>
      </c>
      <c r="E214" s="17">
        <f>+D214/E2</f>
        <v>0.8799499713078127</v>
      </c>
      <c r="F214" s="17">
        <f>+H2/(G214*L214)</f>
        <v>9.460055574130076</v>
      </c>
      <c r="G214" s="17">
        <f>+K215*L215*L215</f>
        <v>735386761735.815</v>
      </c>
      <c r="H214" s="17">
        <f>+G214/A2/B2</f>
        <v>782.3651802246923</v>
      </c>
      <c r="I214" s="17" t="s">
        <v>39</v>
      </c>
      <c r="J214" s="1" t="s">
        <v>43</v>
      </c>
      <c r="K214">
        <f>+L214*B2</f>
        <v>2149553.9307815637</v>
      </c>
      <c r="L214" s="17">
        <f>SQRT(R214)</f>
        <v>342111.33352138463</v>
      </c>
      <c r="M214" s="1" t="s">
        <v>109</v>
      </c>
      <c r="N214" s="1" t="s">
        <v>47</v>
      </c>
      <c r="O214" s="1" t="s">
        <v>79</v>
      </c>
      <c r="P214" s="1" t="s">
        <v>79</v>
      </c>
      <c r="Q214" s="1" t="s">
        <v>43</v>
      </c>
      <c r="R214">
        <f>+G214/B2</f>
        <v>117040164523.78008</v>
      </c>
    </row>
    <row r="215" spans="9:17" ht="18.75">
      <c r="I215" s="17" t="s">
        <v>40</v>
      </c>
      <c r="J215">
        <v>1.1203</v>
      </c>
      <c r="K215">
        <f>+J215*A2*B2</f>
        <v>1053029723.1991153</v>
      </c>
      <c r="L215" s="17">
        <f>+K215/M215</f>
        <v>26.42637471489219</v>
      </c>
      <c r="M215">
        <f>+N215*C2</f>
        <v>39847680</v>
      </c>
      <c r="N215">
        <v>461.2</v>
      </c>
      <c r="O215">
        <f>+N215/D2</f>
        <v>1.262696783025325</v>
      </c>
      <c r="P215">
        <f>+F2*1.5</f>
        <v>2.8485E+27</v>
      </c>
      <c r="Q215" s="17">
        <f>+P215/H2</f>
        <v>1196848739.4957983</v>
      </c>
    </row>
    <row r="216" spans="9:18" ht="18.75">
      <c r="I216" s="17" t="s">
        <v>41</v>
      </c>
      <c r="J216" s="17">
        <f>+K216/A2/B2</f>
        <v>2.286873025139894</v>
      </c>
      <c r="K216">
        <f>+K214*1000</f>
        <v>2149553930.7815638</v>
      </c>
      <c r="L216" s="17">
        <f>SQRT(R216)</f>
        <v>18.496251877647662</v>
      </c>
      <c r="M216">
        <f>+K216/L216</f>
        <v>116215649.79763576</v>
      </c>
      <c r="N216">
        <f>+M216/C2</f>
        <v>1345.088539324488</v>
      </c>
      <c r="O216" s="3">
        <f>+N216/D2</f>
        <v>3.682651716151918</v>
      </c>
      <c r="P216" s="1" t="s">
        <v>45</v>
      </c>
      <c r="Q216" s="1" t="s">
        <v>47</v>
      </c>
      <c r="R216">
        <f>+G214/K216</f>
        <v>342.11133352138467</v>
      </c>
    </row>
    <row r="217" spans="1:18" ht="18.75">
      <c r="A217" s="9" t="s">
        <v>10</v>
      </c>
      <c r="B217" s="9" t="s">
        <v>11</v>
      </c>
      <c r="C217" s="9" t="s">
        <v>12</v>
      </c>
      <c r="D217" s="9" t="s">
        <v>13</v>
      </c>
      <c r="E217" s="9" t="s">
        <v>14</v>
      </c>
      <c r="F217" s="9" t="s">
        <v>15</v>
      </c>
      <c r="G217" s="9" t="s">
        <v>16</v>
      </c>
      <c r="H217" s="9" t="s">
        <v>17</v>
      </c>
      <c r="I217" s="14" t="s">
        <v>18</v>
      </c>
      <c r="J217" s="14" t="s">
        <v>19</v>
      </c>
      <c r="K217" s="14" t="s">
        <v>20</v>
      </c>
      <c r="L217" s="14" t="s">
        <v>21</v>
      </c>
      <c r="M217" s="14" t="s">
        <v>22</v>
      </c>
      <c r="N217" s="14" t="s">
        <v>23</v>
      </c>
      <c r="O217" s="14" t="s">
        <v>24</v>
      </c>
      <c r="P217" s="14" t="s">
        <v>25</v>
      </c>
      <c r="Q217" s="14" t="s">
        <v>26</v>
      </c>
      <c r="R217" s="13" t="s">
        <v>27</v>
      </c>
    </row>
    <row r="218" spans="1:18" ht="18.75">
      <c r="A218" s="11"/>
      <c r="B218" s="12"/>
      <c r="C218" s="11" t="s">
        <v>28</v>
      </c>
      <c r="D218" s="11" t="s">
        <v>29</v>
      </c>
      <c r="E218" s="11"/>
      <c r="F218" s="11" t="s">
        <v>30</v>
      </c>
      <c r="G218" s="11" t="s">
        <v>31</v>
      </c>
      <c r="H218" s="11" t="s">
        <v>32</v>
      </c>
      <c r="I218" s="14" t="s">
        <v>33</v>
      </c>
      <c r="J218" s="10" t="s">
        <v>34</v>
      </c>
      <c r="K218" s="14" t="s">
        <v>31</v>
      </c>
      <c r="L218" s="14" t="s">
        <v>35</v>
      </c>
      <c r="M218" s="15"/>
      <c r="N218" s="10" t="s">
        <v>34</v>
      </c>
      <c r="O218" s="15"/>
      <c r="P218" s="10" t="s">
        <v>34</v>
      </c>
      <c r="Q218" s="15"/>
      <c r="R218" s="1"/>
    </row>
    <row r="219" spans="1:18" ht="18.75">
      <c r="A219" s="17" t="s">
        <v>147</v>
      </c>
      <c r="B219" s="17" t="s">
        <v>146</v>
      </c>
      <c r="C219" s="17">
        <v>215.7</v>
      </c>
      <c r="D219" s="17">
        <f>+G219*H2</f>
        <v>2.569546382650441E+30</v>
      </c>
      <c r="E219" s="17">
        <f>+D219/E2</f>
        <v>1.2918785232028362</v>
      </c>
      <c r="F219" s="17">
        <f>+H2/(G219*L219)</f>
        <v>5.317997665525426</v>
      </c>
      <c r="G219" s="17">
        <f>+K220*L220*L220</f>
        <v>1079641337248.0845</v>
      </c>
      <c r="H219" s="17">
        <f>+G219/A2/B2</f>
        <v>1148.6116331498108</v>
      </c>
      <c r="I219" s="17" t="s">
        <v>39</v>
      </c>
      <c r="J219" s="1" t="s">
        <v>44</v>
      </c>
      <c r="K219">
        <f>+L219*B2</f>
        <v>2604534.977725806</v>
      </c>
      <c r="L219" s="17">
        <f>SQRT(R219)</f>
        <v>414523.64682419883</v>
      </c>
      <c r="M219" s="1" t="s">
        <v>44</v>
      </c>
      <c r="N219" s="1" t="s">
        <v>52</v>
      </c>
      <c r="O219" s="1" t="s">
        <v>47</v>
      </c>
      <c r="P219" s="1" t="s">
        <v>62</v>
      </c>
      <c r="Q219" s="1" t="s">
        <v>62</v>
      </c>
      <c r="R219">
        <f>+G219/B2</f>
        <v>171829853776.4331</v>
      </c>
    </row>
    <row r="220" spans="9:17" ht="18.75">
      <c r="I220" s="17" t="s">
        <v>40</v>
      </c>
      <c r="J220">
        <v>2.31</v>
      </c>
      <c r="K220">
        <f>+J220*A2*B2</f>
        <v>2171292207.97104</v>
      </c>
      <c r="L220" s="17">
        <f>+K220/M220</f>
        <v>22.298754970289853</v>
      </c>
      <c r="M220">
        <f>+N220*C2</f>
        <v>97372800</v>
      </c>
      <c r="N220">
        <v>1127</v>
      </c>
      <c r="O220">
        <f>+N220/D2</f>
        <v>3.0855578370978782</v>
      </c>
      <c r="P220">
        <f>+F2*4.99</f>
        <v>9.47601E+27</v>
      </c>
      <c r="Q220" s="17">
        <f>+P220/H2</f>
        <v>3981516806.722689</v>
      </c>
    </row>
    <row r="221" spans="9:18" ht="18.75">
      <c r="I221" s="17" t="s">
        <v>41</v>
      </c>
      <c r="J221" s="17">
        <f>+K221/A2/B2</f>
        <v>2.770919444402509</v>
      </c>
      <c r="K221">
        <f>+K219*1000</f>
        <v>2604534977.725806</v>
      </c>
      <c r="L221" s="17">
        <f>SQRT(R221)</f>
        <v>20.35985380164108</v>
      </c>
      <c r="M221">
        <f>+K221/L221</f>
        <v>127925033.40647127</v>
      </c>
      <c r="N221">
        <f>+M221/C2</f>
        <v>1480.613812574899</v>
      </c>
      <c r="O221" s="3">
        <f>+N221/D2</f>
        <v>4.053699692196848</v>
      </c>
      <c r="P221" s="1" t="s">
        <v>44</v>
      </c>
      <c r="Q221" s="1" t="s">
        <v>148</v>
      </c>
      <c r="R221">
        <f>+G219/K221</f>
        <v>414.52364682419875</v>
      </c>
    </row>
    <row r="222" spans="1:18" ht="18.75">
      <c r="A222" s="9" t="s">
        <v>10</v>
      </c>
      <c r="B222" s="9" t="s">
        <v>11</v>
      </c>
      <c r="C222" s="9" t="s">
        <v>12</v>
      </c>
      <c r="D222" s="9" t="s">
        <v>13</v>
      </c>
      <c r="E222" s="9" t="s">
        <v>14</v>
      </c>
      <c r="F222" s="9" t="s">
        <v>15</v>
      </c>
      <c r="G222" s="9" t="s">
        <v>16</v>
      </c>
      <c r="H222" s="9" t="s">
        <v>17</v>
      </c>
      <c r="I222" s="14" t="s">
        <v>18</v>
      </c>
      <c r="J222" s="14" t="s">
        <v>19</v>
      </c>
      <c r="K222" s="14" t="s">
        <v>20</v>
      </c>
      <c r="L222" s="14" t="s">
        <v>21</v>
      </c>
      <c r="M222" s="14" t="s">
        <v>22</v>
      </c>
      <c r="N222" s="14" t="s">
        <v>23</v>
      </c>
      <c r="O222" s="14" t="s">
        <v>24</v>
      </c>
      <c r="P222" s="14" t="s">
        <v>25</v>
      </c>
      <c r="Q222" s="14" t="s">
        <v>26</v>
      </c>
      <c r="R222" s="13" t="s">
        <v>27</v>
      </c>
    </row>
    <row r="223" spans="1:18" ht="18.75">
      <c r="A223" s="11"/>
      <c r="B223" s="12"/>
      <c r="C223" s="11" t="s">
        <v>28</v>
      </c>
      <c r="D223" s="11" t="s">
        <v>29</v>
      </c>
      <c r="E223" s="11"/>
      <c r="F223" s="11" t="s">
        <v>30</v>
      </c>
      <c r="G223" s="11" t="s">
        <v>31</v>
      </c>
      <c r="H223" s="11" t="s">
        <v>32</v>
      </c>
      <c r="I223" s="14" t="s">
        <v>33</v>
      </c>
      <c r="J223" s="10" t="s">
        <v>34</v>
      </c>
      <c r="K223" s="14" t="s">
        <v>31</v>
      </c>
      <c r="L223" s="14" t="s">
        <v>35</v>
      </c>
      <c r="M223" s="15"/>
      <c r="N223" s="10" t="s">
        <v>34</v>
      </c>
      <c r="O223" s="15"/>
      <c r="P223" s="10" t="s">
        <v>34</v>
      </c>
      <c r="Q223" s="15"/>
      <c r="R223" s="1"/>
    </row>
    <row r="224" spans="1:18" ht="18.75">
      <c r="A224" s="17" t="s">
        <v>149</v>
      </c>
      <c r="B224" s="17" t="s">
        <v>133</v>
      </c>
      <c r="C224" s="17">
        <v>51.81</v>
      </c>
      <c r="D224" s="17">
        <f>+G224*H2</f>
        <v>1.8989172604100262E+30</v>
      </c>
      <c r="E224" s="17">
        <f>+D224/E2</f>
        <v>0.9547095326345029</v>
      </c>
      <c r="F224" s="17">
        <f>+H2/(G224*L224)</f>
        <v>8.370931180251771</v>
      </c>
      <c r="G224" s="17">
        <f>+K225*L225*L225</f>
        <v>797864395130.2631</v>
      </c>
      <c r="H224" s="17">
        <f>+G224/A2/B2</f>
        <v>848.8340472944257</v>
      </c>
      <c r="I224" s="17" t="s">
        <v>39</v>
      </c>
      <c r="J224" s="1" t="s">
        <v>44</v>
      </c>
      <c r="K224">
        <f>+L224*B2</f>
        <v>2239004.5930016465</v>
      </c>
      <c r="L224" s="17">
        <f>SQRT(R224)</f>
        <v>356347.815285467</v>
      </c>
      <c r="M224" s="1" t="s">
        <v>109</v>
      </c>
      <c r="N224" s="1" t="s">
        <v>45</v>
      </c>
      <c r="O224" s="1" t="s">
        <v>46</v>
      </c>
      <c r="P224" s="1" t="s">
        <v>45</v>
      </c>
      <c r="Q224" s="1" t="s">
        <v>45</v>
      </c>
      <c r="R224">
        <f>+G224/B2</f>
        <v>126983765458.72534</v>
      </c>
    </row>
    <row r="225" spans="1:17" ht="18.75">
      <c r="A225" s="17" t="s">
        <v>77</v>
      </c>
      <c r="G225">
        <f>+K225*L225*L225</f>
        <v>797864395130.2631</v>
      </c>
      <c r="I225" s="17" t="s">
        <v>150</v>
      </c>
      <c r="J225">
        <v>0.128</v>
      </c>
      <c r="K225">
        <f>+J225*A2*B2</f>
        <v>120314027.10835199</v>
      </c>
      <c r="L225" s="17">
        <f>+K225/M225</f>
        <v>81.4341205790773</v>
      </c>
      <c r="M225">
        <f>+N225*C2</f>
        <v>1477440.0000000002</v>
      </c>
      <c r="N225">
        <v>17.1</v>
      </c>
      <c r="O225">
        <f>+N225/D2</f>
        <v>0.04681724845995894</v>
      </c>
      <c r="P225">
        <f>+F2*0.057</f>
        <v>1.08243E+26</v>
      </c>
      <c r="Q225" s="17">
        <f>+P225/H2</f>
        <v>45480252.10084034</v>
      </c>
    </row>
    <row r="226" spans="7:17" ht="18.75">
      <c r="G226">
        <f>+K226*L226*L226</f>
        <v>797489102470.9269</v>
      </c>
      <c r="I226" s="17" t="s">
        <v>151</v>
      </c>
      <c r="J226">
        <v>3.913</v>
      </c>
      <c r="K226">
        <f>+J226*A2*B2</f>
        <v>3678037406.8357916</v>
      </c>
      <c r="L226" s="17">
        <f>+K226/M226</f>
        <v>14.724966237956684</v>
      </c>
      <c r="M226">
        <f>+N226*C2</f>
        <v>249782400</v>
      </c>
      <c r="N226">
        <v>2891</v>
      </c>
      <c r="O226">
        <f>+N226/D2</f>
        <v>7.915126625598905</v>
      </c>
      <c r="P226">
        <f>+F2*1.502</f>
        <v>2.852298E+27</v>
      </c>
      <c r="Q226" s="17">
        <f>+P226/H2</f>
        <v>1198444537.815126</v>
      </c>
    </row>
    <row r="227" spans="9:18" ht="18.75">
      <c r="I227" s="17" t="s">
        <v>41</v>
      </c>
      <c r="J227" s="17">
        <f>+K227/A2/B2</f>
        <v>2.3820380282517863</v>
      </c>
      <c r="K227">
        <f>+K224*1000</f>
        <v>2239004593.0016465</v>
      </c>
      <c r="L227" s="17">
        <f>SQRT(R227)</f>
        <v>18.87717710054835</v>
      </c>
      <c r="M227">
        <f>+K227/L227</f>
        <v>118609079.1581654</v>
      </c>
      <c r="N227">
        <f>+M227/C2</f>
        <v>1372.7902680343218</v>
      </c>
      <c r="O227" s="3">
        <f>+N227/D2</f>
        <v>3.7584949159050565</v>
      </c>
      <c r="P227" s="1" t="s">
        <v>45</v>
      </c>
      <c r="Q227" s="1" t="s">
        <v>45</v>
      </c>
      <c r="R227">
        <f>+G224/K227</f>
        <v>356.34781528546705</v>
      </c>
    </row>
    <row r="228" spans="5:18" ht="18.75">
      <c r="E228" s="17"/>
      <c r="G228" s="17"/>
      <c r="I228" s="17" t="s">
        <v>136</v>
      </c>
      <c r="J228">
        <v>3000</v>
      </c>
      <c r="K228">
        <f>+J228*A2*B2</f>
        <v>2819860010352</v>
      </c>
      <c r="L228" s="17">
        <f>SQRT(R228)</f>
        <v>0.5319254481893823</v>
      </c>
      <c r="M228">
        <f>+K228/L228</f>
        <v>5301231629264.033</v>
      </c>
      <c r="N228">
        <f>+M228/C2</f>
        <v>61356847.56092631</v>
      </c>
      <c r="O228" s="17">
        <f>+N228/D2</f>
        <v>167985.89339062644</v>
      </c>
      <c r="P228" s="17">
        <f>+Q228*H2</f>
        <v>1.898917260410026E+30</v>
      </c>
      <c r="Q228" s="20">
        <f>+K228*L228*L228</f>
        <v>797864395130.263</v>
      </c>
      <c r="R228">
        <f>+G224/K228</f>
        <v>0.2829446824314752</v>
      </c>
    </row>
    <row r="229" spans="1:18" ht="18.75">
      <c r="A229" s="9" t="s">
        <v>10</v>
      </c>
      <c r="B229" s="9" t="s">
        <v>11</v>
      </c>
      <c r="C229" s="9" t="s">
        <v>12</v>
      </c>
      <c r="D229" s="9" t="s">
        <v>13</v>
      </c>
      <c r="E229" s="9" t="s">
        <v>14</v>
      </c>
      <c r="F229" s="9" t="s">
        <v>15</v>
      </c>
      <c r="G229" s="9" t="s">
        <v>16</v>
      </c>
      <c r="H229" s="9" t="s">
        <v>17</v>
      </c>
      <c r="I229" s="14" t="s">
        <v>18</v>
      </c>
      <c r="J229" s="14" t="s">
        <v>19</v>
      </c>
      <c r="K229" s="14" t="s">
        <v>20</v>
      </c>
      <c r="L229" s="14" t="s">
        <v>21</v>
      </c>
      <c r="M229" s="14" t="s">
        <v>22</v>
      </c>
      <c r="N229" s="14" t="s">
        <v>23</v>
      </c>
      <c r="O229" s="14" t="s">
        <v>24</v>
      </c>
      <c r="P229" s="14" t="s">
        <v>25</v>
      </c>
      <c r="Q229" s="14" t="s">
        <v>26</v>
      </c>
      <c r="R229" s="13" t="s">
        <v>27</v>
      </c>
    </row>
    <row r="230" spans="1:18" ht="18.75">
      <c r="A230" s="11"/>
      <c r="B230" s="12"/>
      <c r="C230" s="11" t="s">
        <v>28</v>
      </c>
      <c r="D230" s="11" t="s">
        <v>29</v>
      </c>
      <c r="E230" s="11"/>
      <c r="F230" s="11" t="s">
        <v>30</v>
      </c>
      <c r="G230" s="11" t="s">
        <v>31</v>
      </c>
      <c r="H230" s="11" t="s">
        <v>32</v>
      </c>
      <c r="I230" s="14" t="s">
        <v>33</v>
      </c>
      <c r="J230" s="10" t="s">
        <v>34</v>
      </c>
      <c r="K230" s="14" t="s">
        <v>31</v>
      </c>
      <c r="L230" s="14" t="s">
        <v>35</v>
      </c>
      <c r="M230" s="15"/>
      <c r="N230" s="10" t="s">
        <v>34</v>
      </c>
      <c r="O230" s="15"/>
      <c r="P230" s="10" t="s">
        <v>34</v>
      </c>
      <c r="Q230" s="15"/>
      <c r="R230" s="1"/>
    </row>
    <row r="231" spans="1:18" ht="18.75">
      <c r="A231" s="17" t="s">
        <v>152</v>
      </c>
      <c r="B231" s="17" t="s">
        <v>104</v>
      </c>
      <c r="C231" s="17">
        <v>177</v>
      </c>
      <c r="D231" s="17">
        <f>+G231*H2</f>
        <v>2.1792196596583862E+30</v>
      </c>
      <c r="E231" s="17">
        <f>+D231/E2</f>
        <v>1.0956358268770168</v>
      </c>
      <c r="F231" s="17">
        <f>+H2/(G231*L231)</f>
        <v>6.808968457217442</v>
      </c>
      <c r="G231" s="17">
        <f>+K232*L232*L232</f>
        <v>915638512461.5068</v>
      </c>
      <c r="H231" s="17">
        <f>+G231/A2/B2</f>
        <v>974.1318814764943</v>
      </c>
      <c r="I231" s="17" t="s">
        <v>39</v>
      </c>
      <c r="J231" s="1" t="s">
        <v>57</v>
      </c>
      <c r="K231">
        <f>+L231*B2</f>
        <v>2398570.3870218485</v>
      </c>
      <c r="L231" s="17">
        <f>SQRT(R231)</f>
        <v>381743.440766146</v>
      </c>
      <c r="M231" s="1" t="s">
        <v>62</v>
      </c>
      <c r="N231" s="1" t="s">
        <v>62</v>
      </c>
      <c r="O231" s="1" t="s">
        <v>79</v>
      </c>
      <c r="P231" s="1" t="s">
        <v>51</v>
      </c>
      <c r="Q231" s="1" t="s">
        <v>51</v>
      </c>
      <c r="R231">
        <f>+G231/B2</f>
        <v>145728054567.976</v>
      </c>
    </row>
    <row r="232" spans="9:17" ht="18.75">
      <c r="I232" s="17" t="s">
        <v>40</v>
      </c>
      <c r="J232">
        <v>2.07</v>
      </c>
      <c r="K232">
        <f>+J232*A2*B2</f>
        <v>1945703407.1428797</v>
      </c>
      <c r="L232" s="17">
        <f>+K232/M232</f>
        <v>21.693204277478085</v>
      </c>
      <c r="M232">
        <f>+N232*C2</f>
        <v>89691839.99999999</v>
      </c>
      <c r="N232">
        <v>1038.1</v>
      </c>
      <c r="O232">
        <f>+N232/D2</f>
        <v>2.842162902121834</v>
      </c>
      <c r="P232">
        <f>+F2*1.9</f>
        <v>3.6081E+27</v>
      </c>
      <c r="Q232" s="17">
        <f>+P232/H2</f>
        <v>1516008403.3613446</v>
      </c>
    </row>
    <row r="233" spans="9:18" ht="18.75">
      <c r="I233" s="17" t="s">
        <v>41</v>
      </c>
      <c r="J233" s="17">
        <f>+K233/A2/B2</f>
        <v>2.551797300096225</v>
      </c>
      <c r="K233">
        <f>+K231*1000</f>
        <v>2398570387.0218487</v>
      </c>
      <c r="L233" s="17">
        <f>SQRT(R233)</f>
        <v>19.538255827124026</v>
      </c>
      <c r="M233">
        <f>+K233/L233</f>
        <v>122762769.0129857</v>
      </c>
      <c r="N233">
        <f>+M233/C2</f>
        <v>1420.865382094742</v>
      </c>
      <c r="O233" s="3">
        <f>+N233/D2</f>
        <v>3.890117404776843</v>
      </c>
      <c r="P233" s="1" t="s">
        <v>109</v>
      </c>
      <c r="Q233" s="1" t="s">
        <v>43</v>
      </c>
      <c r="R233">
        <f>+G231/K233</f>
        <v>381.74344076614597</v>
      </c>
    </row>
    <row r="234" spans="1:18" ht="18.75">
      <c r="A234" s="9" t="s">
        <v>10</v>
      </c>
      <c r="B234" s="9" t="s">
        <v>11</v>
      </c>
      <c r="C234" s="9" t="s">
        <v>12</v>
      </c>
      <c r="D234" s="9" t="s">
        <v>13</v>
      </c>
      <c r="E234" s="9" t="s">
        <v>14</v>
      </c>
      <c r="F234" s="9" t="s">
        <v>15</v>
      </c>
      <c r="G234" s="9" t="s">
        <v>16</v>
      </c>
      <c r="H234" s="9" t="s">
        <v>17</v>
      </c>
      <c r="I234" s="14" t="s">
        <v>18</v>
      </c>
      <c r="J234" s="14" t="s">
        <v>19</v>
      </c>
      <c r="K234" s="14" t="s">
        <v>20</v>
      </c>
      <c r="L234" s="14" t="s">
        <v>21</v>
      </c>
      <c r="M234" s="14" t="s">
        <v>22</v>
      </c>
      <c r="N234" s="14" t="s">
        <v>23</v>
      </c>
      <c r="O234" s="14" t="s">
        <v>24</v>
      </c>
      <c r="P234" s="14" t="s">
        <v>25</v>
      </c>
      <c r="Q234" s="14" t="s">
        <v>26</v>
      </c>
      <c r="R234" s="13" t="s">
        <v>27</v>
      </c>
    </row>
    <row r="235" spans="1:18" ht="18.75">
      <c r="A235" s="11"/>
      <c r="B235" s="12"/>
      <c r="C235" s="11" t="s">
        <v>28</v>
      </c>
      <c r="D235" s="11" t="s">
        <v>29</v>
      </c>
      <c r="E235" s="11"/>
      <c r="F235" s="11" t="s">
        <v>30</v>
      </c>
      <c r="G235" s="11" t="s">
        <v>31</v>
      </c>
      <c r="H235" s="11" t="s">
        <v>32</v>
      </c>
      <c r="I235" s="14" t="s">
        <v>33</v>
      </c>
      <c r="J235" s="10" t="s">
        <v>34</v>
      </c>
      <c r="K235" s="14" t="s">
        <v>31</v>
      </c>
      <c r="L235" s="14" t="s">
        <v>35</v>
      </c>
      <c r="M235" s="15"/>
      <c r="N235" s="10" t="s">
        <v>34</v>
      </c>
      <c r="O235" s="15"/>
      <c r="P235" s="10" t="s">
        <v>34</v>
      </c>
      <c r="Q235" s="15"/>
      <c r="R235" s="1"/>
    </row>
    <row r="236" spans="1:18" ht="18.75">
      <c r="A236" s="17" t="s">
        <v>153</v>
      </c>
      <c r="B236" s="17" t="s">
        <v>128</v>
      </c>
      <c r="C236" s="17">
        <v>64.85</v>
      </c>
      <c r="D236" s="17">
        <f>+G236*H2</f>
        <v>1.5073549967221223E+30</v>
      </c>
      <c r="E236" s="17">
        <f>+D236/E2</f>
        <v>0.7578456494329423</v>
      </c>
      <c r="F236" s="17">
        <f>+H2/(G236*L236)</f>
        <v>11.83612429605819</v>
      </c>
      <c r="G236" s="17">
        <f>+K237*L237*L237</f>
        <v>633342435597.5304</v>
      </c>
      <c r="H236" s="17">
        <f>+G236/A2/B2</f>
        <v>673.8019971975181</v>
      </c>
      <c r="I236" s="17" t="s">
        <v>39</v>
      </c>
      <c r="J236" s="1" t="s">
        <v>47</v>
      </c>
      <c r="K236" s="19">
        <f>+L236*B2</f>
        <v>1994847.661187792</v>
      </c>
      <c r="L236" s="17">
        <f>SQRT(R236)</f>
        <v>317489.1235656659</v>
      </c>
      <c r="M236" s="1" t="s">
        <v>43</v>
      </c>
      <c r="N236" s="1" t="s">
        <v>43</v>
      </c>
      <c r="O236" s="1" t="s">
        <v>51</v>
      </c>
      <c r="P236" s="1" t="s">
        <v>51</v>
      </c>
      <c r="Q236" s="1" t="s">
        <v>51</v>
      </c>
      <c r="R236">
        <f>+G236/B2</f>
        <v>100799343582.49466</v>
      </c>
    </row>
    <row r="237" spans="9:17" ht="18.75">
      <c r="I237" s="17" t="s">
        <v>40</v>
      </c>
      <c r="J237">
        <v>0.15</v>
      </c>
      <c r="K237">
        <f>+J237*A2*B2</f>
        <v>140993000.5176</v>
      </c>
      <c r="L237" s="17">
        <f>+K237/M237</f>
        <v>67.0224836502656</v>
      </c>
      <c r="M237">
        <f>+N237*C2</f>
        <v>2103667.1999999997</v>
      </c>
      <c r="N237">
        <v>24.348</v>
      </c>
      <c r="O237">
        <f>+N237/D2</f>
        <v>0.0666611909650924</v>
      </c>
      <c r="P237">
        <f>+F2*0.72</f>
        <v>1.36728E+27</v>
      </c>
      <c r="Q237" s="17">
        <f>+P237/H2</f>
        <v>574487394.9579831</v>
      </c>
    </row>
    <row r="238" spans="9:18" ht="18.75">
      <c r="I238" s="17" t="s">
        <v>41</v>
      </c>
      <c r="J238" s="17">
        <f>+K238/A2/B2</f>
        <v>2.122283716777959</v>
      </c>
      <c r="K238">
        <f>+K236*1000</f>
        <v>1994847661.187792</v>
      </c>
      <c r="L238" s="17">
        <f>SQRT(R238)</f>
        <v>17.818224478484545</v>
      </c>
      <c r="M238">
        <f>+K238/L238</f>
        <v>111955468.04321411</v>
      </c>
      <c r="N238">
        <f>+M238/C2</f>
        <v>1295.7808801297929</v>
      </c>
      <c r="O238" s="3">
        <f>+N238/D2</f>
        <v>3.5476547026140803</v>
      </c>
      <c r="P238" s="1" t="s">
        <v>109</v>
      </c>
      <c r="Q238" s="1" t="s">
        <v>148</v>
      </c>
      <c r="R238">
        <f>+G236/K238</f>
        <v>317.4891235656658</v>
      </c>
    </row>
    <row r="239" spans="1:18" ht="18.75">
      <c r="A239" s="9" t="s">
        <v>10</v>
      </c>
      <c r="B239" s="9" t="s">
        <v>11</v>
      </c>
      <c r="C239" s="9" t="s">
        <v>12</v>
      </c>
      <c r="D239" s="9" t="s">
        <v>13</v>
      </c>
      <c r="E239" s="9" t="s">
        <v>14</v>
      </c>
      <c r="F239" s="9" t="s">
        <v>15</v>
      </c>
      <c r="G239" s="9" t="s">
        <v>16</v>
      </c>
      <c r="H239" s="9" t="s">
        <v>17</v>
      </c>
      <c r="I239" s="14" t="s">
        <v>18</v>
      </c>
      <c r="J239" s="14" t="s">
        <v>19</v>
      </c>
      <c r="K239" s="14" t="s">
        <v>20</v>
      </c>
      <c r="L239" s="14" t="s">
        <v>21</v>
      </c>
      <c r="M239" s="14" t="s">
        <v>22</v>
      </c>
      <c r="N239" s="14" t="s">
        <v>23</v>
      </c>
      <c r="O239" s="14" t="s">
        <v>24</v>
      </c>
      <c r="P239" s="14" t="s">
        <v>25</v>
      </c>
      <c r="Q239" s="14" t="s">
        <v>26</v>
      </c>
      <c r="R239" s="13" t="s">
        <v>27</v>
      </c>
    </row>
    <row r="240" spans="1:18" ht="18.75">
      <c r="A240" s="11"/>
      <c r="B240" s="12"/>
      <c r="C240" s="11" t="s">
        <v>28</v>
      </c>
      <c r="D240" s="11" t="s">
        <v>29</v>
      </c>
      <c r="E240" s="11"/>
      <c r="F240" s="11" t="s">
        <v>30</v>
      </c>
      <c r="G240" s="11" t="s">
        <v>31</v>
      </c>
      <c r="H240" s="11" t="s">
        <v>32</v>
      </c>
      <c r="I240" s="14" t="s">
        <v>33</v>
      </c>
      <c r="J240" s="10" t="s">
        <v>34</v>
      </c>
      <c r="K240" s="14" t="s">
        <v>31</v>
      </c>
      <c r="L240" s="14" t="s">
        <v>35</v>
      </c>
      <c r="M240" s="15"/>
      <c r="N240" s="10" t="s">
        <v>34</v>
      </c>
      <c r="O240" s="15"/>
      <c r="P240" s="10" t="s">
        <v>34</v>
      </c>
      <c r="Q240" s="15"/>
      <c r="R240" s="1"/>
    </row>
    <row r="241" spans="1:18" ht="18.75">
      <c r="A241" s="17" t="s">
        <v>154</v>
      </c>
      <c r="B241" s="17" t="s">
        <v>128</v>
      </c>
      <c r="C241" s="17">
        <v>210</v>
      </c>
      <c r="D241" s="17">
        <f>+G241*H2</f>
        <v>3.344965654635132E+30</v>
      </c>
      <c r="E241" s="17">
        <f>+D241/E2</f>
        <v>1.6817323552715597</v>
      </c>
      <c r="F241" s="17">
        <f>+H2/(G241*L241)</f>
        <v>3.5805137039678203</v>
      </c>
      <c r="G241" s="17">
        <f>+K242*L242*L242</f>
        <v>1405447754048.3748</v>
      </c>
      <c r="H241" s="17">
        <f>+G241/A2/B2</f>
        <v>1495.2314110156137</v>
      </c>
      <c r="I241" s="17" t="s">
        <v>39</v>
      </c>
      <c r="J241" s="1" t="s">
        <v>42</v>
      </c>
      <c r="K241">
        <f>+L241*B2</f>
        <v>2971650.943202574</v>
      </c>
      <c r="L241" s="17">
        <f>SQRT(R241)</f>
        <v>472951.83078726986</v>
      </c>
      <c r="M241" s="1" t="s">
        <v>47</v>
      </c>
      <c r="N241" s="1" t="s">
        <v>44</v>
      </c>
      <c r="O241" s="1" t="s">
        <v>47</v>
      </c>
      <c r="P241" s="1" t="s">
        <v>86</v>
      </c>
      <c r="Q241" s="1" t="s">
        <v>52</v>
      </c>
      <c r="R241">
        <f>+G241/B2</f>
        <v>223683434245.03036</v>
      </c>
    </row>
    <row r="242" spans="9:17" ht="18.75">
      <c r="I242" s="17" t="s">
        <v>40</v>
      </c>
      <c r="J242">
        <v>1.16</v>
      </c>
      <c r="K242">
        <f>+J242*A2*B2</f>
        <v>1090345870.6694398</v>
      </c>
      <c r="L242" s="17">
        <f>+K242/M242</f>
        <v>35.90254302557293</v>
      </c>
      <c r="M242">
        <f>+N242*C2</f>
        <v>30369600</v>
      </c>
      <c r="N242">
        <v>351.5</v>
      </c>
      <c r="O242">
        <f>+N242/D2</f>
        <v>0.9623545516769336</v>
      </c>
      <c r="P242">
        <f>+F2*2.5</f>
        <v>4.7475E+27</v>
      </c>
      <c r="Q242" s="17">
        <f>+P242/H2</f>
        <v>1994747899.159664</v>
      </c>
    </row>
    <row r="243" spans="9:18" ht="18.75">
      <c r="I243" s="17" t="s">
        <v>41</v>
      </c>
      <c r="J243" s="17">
        <f>+K243/A2/B2</f>
        <v>3.1614877323271373</v>
      </c>
      <c r="K243">
        <f>+K241*1000</f>
        <v>2971650943.202574</v>
      </c>
      <c r="L243" s="17">
        <f>SQRT(R243)</f>
        <v>21.747455731355565</v>
      </c>
      <c r="M243">
        <f>+K243/L243</f>
        <v>136643613.85125324</v>
      </c>
      <c r="N243">
        <f>+M243/C2</f>
        <v>1581.5233084635793</v>
      </c>
      <c r="O243" s="3">
        <f>+N243/D2</f>
        <v>4.3299748349447755</v>
      </c>
      <c r="P243" s="1" t="s">
        <v>45</v>
      </c>
      <c r="Q243" s="1" t="s">
        <v>110</v>
      </c>
      <c r="R243">
        <f>+G241/K243</f>
        <v>472.95183078726996</v>
      </c>
    </row>
    <row r="244" spans="1:18" ht="18.75">
      <c r="A244" s="9" t="s">
        <v>10</v>
      </c>
      <c r="B244" s="9" t="s">
        <v>11</v>
      </c>
      <c r="C244" s="9" t="s">
        <v>12</v>
      </c>
      <c r="D244" s="9" t="s">
        <v>13</v>
      </c>
      <c r="E244" s="9" t="s">
        <v>14</v>
      </c>
      <c r="F244" s="9" t="s">
        <v>15</v>
      </c>
      <c r="G244" s="9" t="s">
        <v>16</v>
      </c>
      <c r="H244" s="9" t="s">
        <v>17</v>
      </c>
      <c r="I244" s="14" t="s">
        <v>18</v>
      </c>
      <c r="J244" s="14" t="s">
        <v>19</v>
      </c>
      <c r="K244" s="14" t="s">
        <v>20</v>
      </c>
      <c r="L244" s="14" t="s">
        <v>21</v>
      </c>
      <c r="M244" s="14" t="s">
        <v>22</v>
      </c>
      <c r="N244" s="14" t="s">
        <v>23</v>
      </c>
      <c r="O244" s="14" t="s">
        <v>24</v>
      </c>
      <c r="P244" s="14" t="s">
        <v>25</v>
      </c>
      <c r="Q244" s="14" t="s">
        <v>26</v>
      </c>
      <c r="R244" s="13" t="s">
        <v>27</v>
      </c>
    </row>
    <row r="245" spans="1:18" ht="18.75">
      <c r="A245" s="11"/>
      <c r="B245" s="12"/>
      <c r="C245" s="11" t="s">
        <v>28</v>
      </c>
      <c r="D245" s="11" t="s">
        <v>29</v>
      </c>
      <c r="E245" s="11"/>
      <c r="F245" s="11" t="s">
        <v>30</v>
      </c>
      <c r="G245" s="11" t="s">
        <v>31</v>
      </c>
      <c r="H245" s="11" t="s">
        <v>32</v>
      </c>
      <c r="I245" s="14" t="s">
        <v>33</v>
      </c>
      <c r="J245" s="10" t="s">
        <v>34</v>
      </c>
      <c r="K245" s="14" t="s">
        <v>31</v>
      </c>
      <c r="L245" s="14" t="s">
        <v>35</v>
      </c>
      <c r="M245" s="15"/>
      <c r="N245" s="10" t="s">
        <v>34</v>
      </c>
      <c r="O245" s="15"/>
      <c r="P245" s="10" t="s">
        <v>34</v>
      </c>
      <c r="Q245" s="15"/>
      <c r="R245" s="1"/>
    </row>
    <row r="246" spans="1:18" ht="18.75">
      <c r="A246" s="17" t="s">
        <v>155</v>
      </c>
      <c r="B246" s="17" t="s">
        <v>156</v>
      </c>
      <c r="C246" s="17">
        <v>65</v>
      </c>
      <c r="D246" s="17">
        <f>+G246*H2</f>
        <v>2.1374402155572654E+30</v>
      </c>
      <c r="E246" s="17">
        <f>+D246/E2</f>
        <v>1.0746305759463377</v>
      </c>
      <c r="F246" s="17">
        <f>+H2/(G246*L246)</f>
        <v>7.009577957577965</v>
      </c>
      <c r="G246" s="17">
        <f>+K247*L247*L247</f>
        <v>898084124183.725</v>
      </c>
      <c r="H246" s="17">
        <f>+G246/A2/B2</f>
        <v>955.45607323069</v>
      </c>
      <c r="I246" s="17" t="s">
        <v>39</v>
      </c>
      <c r="J246" s="1" t="s">
        <v>109</v>
      </c>
      <c r="K246" s="19">
        <f>+L246*B2</f>
        <v>2375466.7265763124</v>
      </c>
      <c r="L246" s="17">
        <f>SQRT(R246)</f>
        <v>378066.387601272</v>
      </c>
      <c r="M246" s="1" t="s">
        <v>110</v>
      </c>
      <c r="N246" s="1" t="s">
        <v>86</v>
      </c>
      <c r="O246" s="1" t="s">
        <v>47</v>
      </c>
      <c r="P246" s="1" t="s">
        <v>45</v>
      </c>
      <c r="Q246" s="1" t="s">
        <v>110</v>
      </c>
      <c r="R246">
        <f>+G246/B2</f>
        <v>142934193433.87524</v>
      </c>
    </row>
    <row r="247" spans="1:17" ht="18.75">
      <c r="A247" s="17" t="s">
        <v>77</v>
      </c>
      <c r="I247" s="17" t="s">
        <v>151</v>
      </c>
      <c r="J247">
        <v>0.1388</v>
      </c>
      <c r="K247">
        <f>+J247*A2*B2</f>
        <v>130465523.14561921</v>
      </c>
      <c r="L247" s="17">
        <f>+K247/M247</f>
        <v>82.96800159341882</v>
      </c>
      <c r="M247">
        <f>+N247*C2</f>
        <v>1572480</v>
      </c>
      <c r="N247">
        <v>18.2</v>
      </c>
      <c r="O247">
        <f>+N247/D2</f>
        <v>0.04982888432580424</v>
      </c>
      <c r="P247">
        <f>+F2*3.7</f>
        <v>7.0263E+27</v>
      </c>
      <c r="Q247" s="17">
        <f>+P247/H2</f>
        <v>2952226890.756303</v>
      </c>
    </row>
    <row r="248" spans="9:18" ht="18.75">
      <c r="I248" s="17" t="s">
        <v>41</v>
      </c>
      <c r="J248" s="17">
        <f>+K248/A2/B2</f>
        <v>2.5272177177473987</v>
      </c>
      <c r="K248">
        <f>+K246*1000</f>
        <v>2375466726.5763125</v>
      </c>
      <c r="L248" s="17">
        <f>SQRT(R248)</f>
        <v>19.443929325145984</v>
      </c>
      <c r="M248">
        <f>+K248/L248</f>
        <v>122170096.73575728</v>
      </c>
      <c r="N248">
        <f>+M248/C2</f>
        <v>1414.00574925645</v>
      </c>
      <c r="O248" s="3">
        <f>+N248/D2</f>
        <v>3.871336753611088</v>
      </c>
      <c r="P248" s="1" t="s">
        <v>109</v>
      </c>
      <c r="Q248" s="1" t="s">
        <v>112</v>
      </c>
      <c r="R248">
        <f>+G246/K248</f>
        <v>378.06638760127197</v>
      </c>
    </row>
    <row r="249" spans="9:18" ht="18.75">
      <c r="I249" s="17" t="s">
        <v>136</v>
      </c>
      <c r="J249">
        <v>150</v>
      </c>
      <c r="K249">
        <f>+J249*A2*B2</f>
        <v>140993000517.6</v>
      </c>
      <c r="L249" s="17">
        <f>SQRT(R249)</f>
        <v>2.52382787742573</v>
      </c>
      <c r="M249">
        <f>+K249/L249</f>
        <v>55864744889.58056</v>
      </c>
      <c r="N249">
        <f>+M249/C2</f>
        <v>646582.6954812565</v>
      </c>
      <c r="O249" s="17">
        <f>+N249/D2</f>
        <v>1770.2469417693537</v>
      </c>
      <c r="P249" s="1" t="s">
        <v>109</v>
      </c>
      <c r="Q249" s="1" t="s">
        <v>47</v>
      </c>
      <c r="R249">
        <f>+G246/K249</f>
        <v>6.369707154871267</v>
      </c>
    </row>
    <row r="250" spans="1:18" ht="18.75">
      <c r="A250" s="9" t="s">
        <v>10</v>
      </c>
      <c r="B250" s="9" t="s">
        <v>11</v>
      </c>
      <c r="C250" s="9" t="s">
        <v>12</v>
      </c>
      <c r="D250" s="9" t="s">
        <v>13</v>
      </c>
      <c r="E250" s="9" t="s">
        <v>14</v>
      </c>
      <c r="F250" s="9" t="s">
        <v>15</v>
      </c>
      <c r="G250" s="9" t="s">
        <v>16</v>
      </c>
      <c r="H250" s="9" t="s">
        <v>17</v>
      </c>
      <c r="I250" s="14" t="s">
        <v>18</v>
      </c>
      <c r="J250" s="14" t="s">
        <v>19</v>
      </c>
      <c r="K250" s="14" t="s">
        <v>20</v>
      </c>
      <c r="L250" s="14" t="s">
        <v>21</v>
      </c>
      <c r="M250" s="14" t="s">
        <v>22</v>
      </c>
      <c r="N250" s="14" t="s">
        <v>23</v>
      </c>
      <c r="O250" s="14" t="s">
        <v>24</v>
      </c>
      <c r="P250" s="14" t="s">
        <v>25</v>
      </c>
      <c r="Q250" s="14" t="s">
        <v>26</v>
      </c>
      <c r="R250" s="13" t="s">
        <v>27</v>
      </c>
    </row>
    <row r="251" spans="1:18" ht="18.75">
      <c r="A251" s="11"/>
      <c r="B251" s="12"/>
      <c r="C251" s="11" t="s">
        <v>28</v>
      </c>
      <c r="D251" s="11" t="s">
        <v>29</v>
      </c>
      <c r="E251" s="11"/>
      <c r="F251" s="11" t="s">
        <v>30</v>
      </c>
      <c r="G251" s="11" t="s">
        <v>31</v>
      </c>
      <c r="H251" s="11" t="s">
        <v>32</v>
      </c>
      <c r="I251" s="14" t="s">
        <v>33</v>
      </c>
      <c r="J251" s="10" t="s">
        <v>34</v>
      </c>
      <c r="K251" s="14" t="s">
        <v>31</v>
      </c>
      <c r="L251" s="14" t="s">
        <v>35</v>
      </c>
      <c r="M251" s="15"/>
      <c r="N251" s="10" t="s">
        <v>34</v>
      </c>
      <c r="O251" s="15"/>
      <c r="P251" s="10" t="s">
        <v>34</v>
      </c>
      <c r="Q251" s="15"/>
      <c r="R251" s="1"/>
    </row>
    <row r="252" spans="1:18" ht="18.75">
      <c r="A252" s="17" t="s">
        <v>157</v>
      </c>
      <c r="B252" s="17" t="s">
        <v>158</v>
      </c>
      <c r="C252" s="17">
        <v>153</v>
      </c>
      <c r="D252" s="17">
        <f>+G252*H2</f>
        <v>2.489903669413145E+30</v>
      </c>
      <c r="E252" s="17">
        <f>+D252/E2</f>
        <v>1.251836937864829</v>
      </c>
      <c r="F252" s="17">
        <f>+H2/(G252*L252)</f>
        <v>5.575181581625289</v>
      </c>
      <c r="G252" s="17">
        <f>+K253*L253*L253</f>
        <v>1046178012358.4644</v>
      </c>
      <c r="H252" s="17">
        <f>+G252/A2/B2</f>
        <v>1113.0105840550623</v>
      </c>
      <c r="I252" s="17" t="s">
        <v>39</v>
      </c>
      <c r="J252" s="1" t="s">
        <v>44</v>
      </c>
      <c r="K252">
        <f>+L252*B2</f>
        <v>2563853.678986128</v>
      </c>
      <c r="L252" s="17">
        <f>SQRT(R252)</f>
        <v>408049.0321788464</v>
      </c>
      <c r="M252" s="1" t="s">
        <v>86</v>
      </c>
      <c r="N252" s="1" t="s">
        <v>45</v>
      </c>
      <c r="O252" s="1" t="s">
        <v>45</v>
      </c>
      <c r="P252" s="1" t="s">
        <v>45</v>
      </c>
      <c r="Q252" s="1" t="s">
        <v>44</v>
      </c>
      <c r="R252">
        <f>+G252/B2</f>
        <v>166504012662.09326</v>
      </c>
    </row>
    <row r="253" spans="9:17" ht="18.75">
      <c r="I253" s="17" t="s">
        <v>40</v>
      </c>
      <c r="J253">
        <v>2.5</v>
      </c>
      <c r="K253">
        <f>+J253*A2*B2</f>
        <v>2349883341.96</v>
      </c>
      <c r="L253" s="17">
        <f>+K253/M253</f>
        <v>21.099863355529695</v>
      </c>
      <c r="M253">
        <f>+N253*C2</f>
        <v>111369600</v>
      </c>
      <c r="N253">
        <v>1289</v>
      </c>
      <c r="O253">
        <f>+N253/D2</f>
        <v>3.5290896646132786</v>
      </c>
      <c r="P253">
        <f>+F2*3</f>
        <v>5.697E+27</v>
      </c>
      <c r="Q253" s="17">
        <f>+P253/H2</f>
        <v>2393697478.9915967</v>
      </c>
    </row>
    <row r="254" spans="9:18" ht="18.75">
      <c r="I254" s="17" t="s">
        <v>41</v>
      </c>
      <c r="J254" s="17">
        <f>+K254/A2/B2</f>
        <v>2.727639318520019</v>
      </c>
      <c r="K254">
        <f>+K252*1000</f>
        <v>2563853678.986128</v>
      </c>
      <c r="L254" s="17">
        <f>SQRT(R254)</f>
        <v>20.20022356754614</v>
      </c>
      <c r="M254">
        <f>+K254/L254</f>
        <v>126922044.7196059</v>
      </c>
      <c r="N254">
        <f>+M254/C2</f>
        <v>1469.0051472176608</v>
      </c>
      <c r="O254" s="3">
        <f>+N254/D2</f>
        <v>4.021916898610981</v>
      </c>
      <c r="P254" s="1" t="s">
        <v>44</v>
      </c>
      <c r="Q254" s="1" t="s">
        <v>44</v>
      </c>
      <c r="R254">
        <f>+G252/K254</f>
        <v>408.04903217884646</v>
      </c>
    </row>
    <row r="255" spans="1:18" ht="18.75">
      <c r="A255" s="9" t="s">
        <v>10</v>
      </c>
      <c r="B255" s="9" t="s">
        <v>11</v>
      </c>
      <c r="C255" s="9" t="s">
        <v>12</v>
      </c>
      <c r="D255" s="9" t="s">
        <v>13</v>
      </c>
      <c r="E255" s="9" t="s">
        <v>14</v>
      </c>
      <c r="F255" s="9" t="s">
        <v>15</v>
      </c>
      <c r="G255" s="9" t="s">
        <v>16</v>
      </c>
      <c r="H255" s="9" t="s">
        <v>17</v>
      </c>
      <c r="I255" s="14" t="s">
        <v>18</v>
      </c>
      <c r="J255" s="14" t="s">
        <v>19</v>
      </c>
      <c r="K255" s="14" t="s">
        <v>20</v>
      </c>
      <c r="L255" s="14" t="s">
        <v>21</v>
      </c>
      <c r="M255" s="14" t="s">
        <v>22</v>
      </c>
      <c r="N255" s="14" t="s">
        <v>23</v>
      </c>
      <c r="O255" s="14" t="s">
        <v>24</v>
      </c>
      <c r="P255" s="14" t="s">
        <v>25</v>
      </c>
      <c r="Q255" s="14" t="s">
        <v>26</v>
      </c>
      <c r="R255" s="13" t="s">
        <v>27</v>
      </c>
    </row>
    <row r="256" spans="1:18" ht="18.75">
      <c r="A256" s="11"/>
      <c r="B256" s="12"/>
      <c r="C256" s="11" t="s">
        <v>28</v>
      </c>
      <c r="D256" s="11" t="s">
        <v>29</v>
      </c>
      <c r="E256" s="11"/>
      <c r="F256" s="11" t="s">
        <v>30</v>
      </c>
      <c r="G256" s="11" t="s">
        <v>31</v>
      </c>
      <c r="H256" s="11" t="s">
        <v>32</v>
      </c>
      <c r="I256" s="14" t="s">
        <v>33</v>
      </c>
      <c r="J256" s="10" t="s">
        <v>34</v>
      </c>
      <c r="K256" s="14" t="s">
        <v>31</v>
      </c>
      <c r="L256" s="14" t="s">
        <v>35</v>
      </c>
      <c r="M256" s="15"/>
      <c r="N256" s="10" t="s">
        <v>34</v>
      </c>
      <c r="O256" s="15"/>
      <c r="P256" s="10" t="s">
        <v>34</v>
      </c>
      <c r="Q256" s="15"/>
      <c r="R256" s="1"/>
    </row>
    <row r="257" spans="1:18" ht="18.75">
      <c r="A257" s="17" t="s">
        <v>159</v>
      </c>
      <c r="B257" s="17" t="s">
        <v>156</v>
      </c>
      <c r="C257" s="17">
        <v>107.63</v>
      </c>
      <c r="D257" s="17">
        <f>+G257*H2</f>
        <v>1.9368210325718213E+30</v>
      </c>
      <c r="E257" s="17">
        <f>+D257/E2</f>
        <v>0.9737662305539575</v>
      </c>
      <c r="F257" s="17">
        <f>+H2/(G257*L257)</f>
        <v>8.1264074886742</v>
      </c>
      <c r="G257" s="17">
        <f>+K258*L258*L258</f>
        <v>813790349820.093</v>
      </c>
      <c r="H257" s="17">
        <f>+G257/A2/B2</f>
        <v>865.7773933804343</v>
      </c>
      <c r="I257" s="17" t="s">
        <v>39</v>
      </c>
      <c r="J257" s="1" t="s">
        <v>110</v>
      </c>
      <c r="K257">
        <f>+L257*B2</f>
        <v>2261240.2627738626</v>
      </c>
      <c r="L257" s="17">
        <f>SQRT(R257)</f>
        <v>359886.72376716684</v>
      </c>
      <c r="M257" s="1" t="s">
        <v>109</v>
      </c>
      <c r="N257" s="1" t="s">
        <v>110</v>
      </c>
      <c r="O257" s="1" t="s">
        <v>47</v>
      </c>
      <c r="P257" s="1" t="s">
        <v>45</v>
      </c>
      <c r="Q257" s="1" t="s">
        <v>45</v>
      </c>
      <c r="R257">
        <f>+G257/B2</f>
        <v>129518453943.86507</v>
      </c>
    </row>
    <row r="258" spans="1:17" ht="18.75">
      <c r="A258" s="17" t="s">
        <v>77</v>
      </c>
      <c r="I258" s="17" t="s">
        <v>151</v>
      </c>
      <c r="J258">
        <v>2.37</v>
      </c>
      <c r="K258">
        <f>+J258*A2*B2</f>
        <v>2227689408.17808</v>
      </c>
      <c r="L258" s="17">
        <f>+K258/M258</f>
        <v>19.11300387270818</v>
      </c>
      <c r="M258">
        <f>+N258*C2</f>
        <v>116553600</v>
      </c>
      <c r="N258">
        <v>1349</v>
      </c>
      <c r="O258">
        <f>+N258/D2</f>
        <v>3.693360711841205</v>
      </c>
      <c r="P258">
        <f>+F2*2.96</f>
        <v>5.62104E+27</v>
      </c>
      <c r="Q258" s="17">
        <f>+P258/H2</f>
        <v>2361781512.6050425</v>
      </c>
    </row>
    <row r="259" spans="9:18" ht="18.75">
      <c r="I259" s="17" t="s">
        <v>41</v>
      </c>
      <c r="J259" s="17">
        <f>+K259/A2/B2</f>
        <v>2.405694170426135</v>
      </c>
      <c r="K259">
        <f>+K257*1000</f>
        <v>2261240262.7738624</v>
      </c>
      <c r="L259" s="17">
        <f>SQRT(R259)</f>
        <v>18.970680635316356</v>
      </c>
      <c r="M259">
        <f>+K259/L259</f>
        <v>119196580.56781967</v>
      </c>
      <c r="N259">
        <f>+M259/C2</f>
        <v>1379.5900528682832</v>
      </c>
      <c r="O259" s="3">
        <f>+N259/D2</f>
        <v>3.7771117121650466</v>
      </c>
      <c r="P259" s="1" t="s">
        <v>125</v>
      </c>
      <c r="Q259" s="1" t="s">
        <v>131</v>
      </c>
      <c r="R259">
        <f>+G257/K259</f>
        <v>359.8867237671669</v>
      </c>
    </row>
    <row r="260" spans="9:18" ht="18.75">
      <c r="I260" s="17" t="s">
        <v>136</v>
      </c>
      <c r="J260">
        <v>6300</v>
      </c>
      <c r="K260">
        <f>+J260*A2*B2</f>
        <v>5921706021739.2</v>
      </c>
      <c r="L260" s="17">
        <f>SQRT(R260)</f>
        <v>0.3707087577550056</v>
      </c>
      <c r="M260">
        <f>+K260/L260</f>
        <v>15974011667813.748</v>
      </c>
      <c r="N260">
        <f>+M260/C2</f>
        <v>184884394.30339986</v>
      </c>
      <c r="O260" s="17">
        <f>+N260/D2</f>
        <v>506185.88447200507</v>
      </c>
      <c r="P260" s="1" t="s">
        <v>109</v>
      </c>
      <c r="Q260" s="1" t="s">
        <v>45</v>
      </c>
      <c r="R260">
        <f>+G257/K260</f>
        <v>0.13742498307625942</v>
      </c>
    </row>
    <row r="261" spans="1:18" ht="18.75">
      <c r="A261" s="9" t="s">
        <v>10</v>
      </c>
      <c r="B261" s="9" t="s">
        <v>11</v>
      </c>
      <c r="C261" s="9" t="s">
        <v>12</v>
      </c>
      <c r="D261" s="9" t="s">
        <v>13</v>
      </c>
      <c r="E261" s="9" t="s">
        <v>14</v>
      </c>
      <c r="F261" s="9" t="s">
        <v>15</v>
      </c>
      <c r="G261" s="9" t="s">
        <v>16</v>
      </c>
      <c r="H261" s="9" t="s">
        <v>17</v>
      </c>
      <c r="I261" s="14" t="s">
        <v>18</v>
      </c>
      <c r="J261" s="14" t="s">
        <v>19</v>
      </c>
      <c r="K261" s="14" t="s">
        <v>20</v>
      </c>
      <c r="L261" s="14" t="s">
        <v>21</v>
      </c>
      <c r="M261" s="14" t="s">
        <v>22</v>
      </c>
      <c r="N261" s="14" t="s">
        <v>23</v>
      </c>
      <c r="O261" s="14" t="s">
        <v>24</v>
      </c>
      <c r="P261" s="14" t="s">
        <v>25</v>
      </c>
      <c r="Q261" s="14" t="s">
        <v>26</v>
      </c>
      <c r="R261" s="13" t="s">
        <v>27</v>
      </c>
    </row>
    <row r="262" spans="1:18" ht="18.75">
      <c r="A262" s="11"/>
      <c r="B262" s="12"/>
      <c r="C262" s="11" t="s">
        <v>28</v>
      </c>
      <c r="D262" s="11" t="s">
        <v>29</v>
      </c>
      <c r="E262" s="11"/>
      <c r="F262" s="11" t="s">
        <v>30</v>
      </c>
      <c r="G262" s="11" t="s">
        <v>31</v>
      </c>
      <c r="H262" s="11" t="s">
        <v>32</v>
      </c>
      <c r="I262" s="14" t="s">
        <v>33</v>
      </c>
      <c r="J262" s="10" t="s">
        <v>34</v>
      </c>
      <c r="K262" s="14" t="s">
        <v>31</v>
      </c>
      <c r="L262" s="14" t="s">
        <v>35</v>
      </c>
      <c r="M262" s="15"/>
      <c r="N262" s="10" t="s">
        <v>34</v>
      </c>
      <c r="O262" s="15"/>
      <c r="P262" s="10" t="s">
        <v>34</v>
      </c>
      <c r="Q262" s="15"/>
      <c r="R262" s="1"/>
    </row>
    <row r="263" spans="1:18" ht="18.75">
      <c r="A263" s="17" t="s">
        <v>160</v>
      </c>
      <c r="B263" s="17" t="s">
        <v>161</v>
      </c>
      <c r="C263" s="17">
        <v>151.14</v>
      </c>
      <c r="D263" s="17">
        <f>+G263*H2</f>
        <v>2.3124049628841547E+30</v>
      </c>
      <c r="E263" s="17">
        <f>+D263/E2</f>
        <v>1.162596763642109</v>
      </c>
      <c r="F263" s="17">
        <f>+H2/(G263*L263)</f>
        <v>6.229267707704805</v>
      </c>
      <c r="G263" s="17">
        <f>+K264*L264*L264</f>
        <v>971598723900.9053</v>
      </c>
      <c r="H263" s="17">
        <f>+G263/A2/B2</f>
        <v>1033.6669767301196</v>
      </c>
      <c r="I263" s="17" t="s">
        <v>39</v>
      </c>
      <c r="J263" s="1" t="s">
        <v>100</v>
      </c>
      <c r="K263">
        <f>+L263*B2</f>
        <v>2470779.0475908946</v>
      </c>
      <c r="L263" s="17">
        <f>SQRT(R263)</f>
        <v>393235.7791556682</v>
      </c>
      <c r="M263" s="1" t="s">
        <v>110</v>
      </c>
      <c r="N263" s="1" t="s">
        <v>110</v>
      </c>
      <c r="O263" s="1" t="s">
        <v>47</v>
      </c>
      <c r="P263" s="1" t="s">
        <v>45</v>
      </c>
      <c r="Q263" s="1" t="s">
        <v>125</v>
      </c>
      <c r="R263">
        <f>+G263/B2</f>
        <v>154634378008.16547</v>
      </c>
    </row>
    <row r="264" spans="7:17" ht="18.75">
      <c r="G264">
        <f>+K264*L264*L264</f>
        <v>971598723900.9053</v>
      </c>
      <c r="I264" s="17" t="s">
        <v>40</v>
      </c>
      <c r="J264">
        <v>0.83</v>
      </c>
      <c r="K264">
        <f>+J264*A2*B2</f>
        <v>780161269.53072</v>
      </c>
      <c r="L264" s="17">
        <f>+K264/M264</f>
        <v>35.2899688250761</v>
      </c>
      <c r="M264">
        <f>+N264*C2</f>
        <v>22107168</v>
      </c>
      <c r="N264">
        <v>255.87</v>
      </c>
      <c r="O264">
        <f>+N264/D2</f>
        <v>0.7005338809034908</v>
      </c>
      <c r="P264">
        <f>+F2*17.4</f>
        <v>3.3042599999999997E+28</v>
      </c>
      <c r="Q264" s="17">
        <f>+P264/H2</f>
        <v>13883445378.151258</v>
      </c>
    </row>
    <row r="265" spans="7:17" ht="18.75">
      <c r="G265">
        <f>+K265*L265*L265</f>
        <v>971596914794.7257</v>
      </c>
      <c r="I265" s="17" t="s">
        <v>73</v>
      </c>
      <c r="J265">
        <v>2.5568</v>
      </c>
      <c r="K265">
        <f>+J265*A2*B2</f>
        <v>2403272691.489331</v>
      </c>
      <c r="L265" s="17">
        <f>+K265/M265</f>
        <v>20.10673424280532</v>
      </c>
      <c r="M265">
        <f>+N265*C2</f>
        <v>119525760.00000001</v>
      </c>
      <c r="N265">
        <v>1383.4</v>
      </c>
      <c r="O265">
        <f>+N265/D2</f>
        <v>3.7875427789185494</v>
      </c>
      <c r="P265">
        <f>+F2*2.44</f>
        <v>4.63356E+27</v>
      </c>
      <c r="Q265" s="17">
        <f>+P265/H2</f>
        <v>1946873949.579832</v>
      </c>
    </row>
    <row r="266" spans="9:18" ht="18.75">
      <c r="I266" s="17" t="s">
        <v>41</v>
      </c>
      <c r="J266" s="17">
        <f>+K266/A2/B2</f>
        <v>2.6286188376590407</v>
      </c>
      <c r="K266">
        <f>+K263*1000</f>
        <v>2470779047.5908947</v>
      </c>
      <c r="L266" s="17">
        <f>SQRT(R266)</f>
        <v>19.83017345248569</v>
      </c>
      <c r="M266">
        <f>+K266/L266</f>
        <v>124596945.8366581</v>
      </c>
      <c r="N266">
        <f>+M266/C2</f>
        <v>1442.0942805168763</v>
      </c>
      <c r="O266" s="3">
        <f>+N266/D2</f>
        <v>3.9482389610318314</v>
      </c>
      <c r="P266" s="1" t="s">
        <v>44</v>
      </c>
      <c r="Q266" s="1" t="s">
        <v>45</v>
      </c>
      <c r="R266">
        <f>+G263/K266</f>
        <v>393.2357791556682</v>
      </c>
    </row>
    <row r="267" spans="1:18" ht="18.75">
      <c r="A267" s="9" t="s">
        <v>10</v>
      </c>
      <c r="B267" s="9" t="s">
        <v>11</v>
      </c>
      <c r="C267" s="9" t="s">
        <v>12</v>
      </c>
      <c r="D267" s="9" t="s">
        <v>13</v>
      </c>
      <c r="E267" s="9" t="s">
        <v>14</v>
      </c>
      <c r="F267" s="9" t="s">
        <v>15</v>
      </c>
      <c r="G267" s="9" t="s">
        <v>16</v>
      </c>
      <c r="H267" s="9" t="s">
        <v>17</v>
      </c>
      <c r="I267" s="14" t="s">
        <v>18</v>
      </c>
      <c r="J267" s="14" t="s">
        <v>19</v>
      </c>
      <c r="K267" s="14" t="s">
        <v>20</v>
      </c>
      <c r="L267" s="14" t="s">
        <v>21</v>
      </c>
      <c r="M267" s="14" t="s">
        <v>22</v>
      </c>
      <c r="N267" s="14" t="s">
        <v>23</v>
      </c>
      <c r="O267" s="14" t="s">
        <v>24</v>
      </c>
      <c r="P267" s="14" t="s">
        <v>25</v>
      </c>
      <c r="Q267" s="14" t="s">
        <v>26</v>
      </c>
      <c r="R267" s="13" t="s">
        <v>27</v>
      </c>
    </row>
    <row r="268" spans="1:18" ht="18.75">
      <c r="A268" s="11"/>
      <c r="B268" s="12"/>
      <c r="C268" s="11" t="s">
        <v>28</v>
      </c>
      <c r="D268" s="11" t="s">
        <v>29</v>
      </c>
      <c r="E268" s="11"/>
      <c r="F268" s="11" t="s">
        <v>30</v>
      </c>
      <c r="G268" s="11" t="s">
        <v>31</v>
      </c>
      <c r="H268" s="11" t="s">
        <v>32</v>
      </c>
      <c r="I268" s="14" t="s">
        <v>33</v>
      </c>
      <c r="J268" s="10" t="s">
        <v>34</v>
      </c>
      <c r="K268" s="14" t="s">
        <v>31</v>
      </c>
      <c r="L268" s="14" t="s">
        <v>35</v>
      </c>
      <c r="M268" s="15"/>
      <c r="N268" s="10" t="s">
        <v>34</v>
      </c>
      <c r="O268" s="15"/>
      <c r="P268" s="10" t="s">
        <v>34</v>
      </c>
      <c r="Q268" s="15"/>
      <c r="R268" s="1"/>
    </row>
    <row r="269" spans="1:18" ht="18.75">
      <c r="A269" s="17" t="s">
        <v>162</v>
      </c>
      <c r="B269" s="17" t="s">
        <v>163</v>
      </c>
      <c r="C269" s="17">
        <v>144.4</v>
      </c>
      <c r="D269" s="17">
        <f>+G269*H2</f>
        <v>2.058952706504514E+30</v>
      </c>
      <c r="E269" s="17">
        <f>+D269/E2</f>
        <v>1.0351697870812038</v>
      </c>
      <c r="F269" s="17">
        <f>+H2/(G269*L269)</f>
        <v>7.414182601390153</v>
      </c>
      <c r="G269" s="17">
        <f>+K270*L270*L270</f>
        <v>865106179203.5773</v>
      </c>
      <c r="H269" s="17">
        <f>+G269/A2/B2</f>
        <v>920.3714113761133</v>
      </c>
      <c r="I269" s="17" t="s">
        <v>39</v>
      </c>
      <c r="J269" s="1" t="s">
        <v>109</v>
      </c>
      <c r="K269">
        <f>+L269*B2</f>
        <v>2331444.8621341907</v>
      </c>
      <c r="L269" s="17">
        <f>SQRT(R269)</f>
        <v>371060.1066549196</v>
      </c>
      <c r="M269" s="1" t="s">
        <v>45</v>
      </c>
      <c r="N269" s="1" t="s">
        <v>109</v>
      </c>
      <c r="O269" s="1" t="s">
        <v>46</v>
      </c>
      <c r="P269" s="1" t="s">
        <v>44</v>
      </c>
      <c r="Q269" s="1" t="s">
        <v>45</v>
      </c>
      <c r="R269">
        <f>+G269/B2</f>
        <v>137685602750.7603</v>
      </c>
    </row>
    <row r="270" spans="9:17" ht="18.75">
      <c r="I270" s="17" t="s">
        <v>40</v>
      </c>
      <c r="J270">
        <v>0.49</v>
      </c>
      <c r="K270">
        <f>+J270*A2*B2</f>
        <v>460577135.02415997</v>
      </c>
      <c r="L270" s="17">
        <f>+K270/M270</f>
        <v>43.339462419467026</v>
      </c>
      <c r="M270">
        <f>+N270*C2</f>
        <v>10627200</v>
      </c>
      <c r="N270">
        <v>123</v>
      </c>
      <c r="O270">
        <f>+N270/D2</f>
        <v>0.33675564681724846</v>
      </c>
      <c r="P270">
        <f>+F2*0.45</f>
        <v>8.5455E+26</v>
      </c>
      <c r="Q270" s="17">
        <f>+P270/H2</f>
        <v>359054621.8487395</v>
      </c>
    </row>
    <row r="271" spans="9:18" ht="18.75">
      <c r="I271" s="17" t="s">
        <v>41</v>
      </c>
      <c r="J271" s="17">
        <f>+K271/A2/B2</f>
        <v>2.4803836221392697</v>
      </c>
      <c r="K271">
        <f>+K269*1000</f>
        <v>2331444862.1341906</v>
      </c>
      <c r="L271" s="17">
        <f>SQRT(R271)</f>
        <v>19.26292051208538</v>
      </c>
      <c r="M271">
        <f>+K271/L271</f>
        <v>121032782.16153482</v>
      </c>
      <c r="N271">
        <f>+M271/C2</f>
        <v>1400.8423861288752</v>
      </c>
      <c r="O271" s="3">
        <f>+N271/D2</f>
        <v>3.835297429510952</v>
      </c>
      <c r="P271" s="1" t="s">
        <v>44</v>
      </c>
      <c r="Q271" s="1" t="s">
        <v>112</v>
      </c>
      <c r="R271">
        <f>+G269/K271</f>
        <v>371.0601066549197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VICENTE</dc:creator>
  <cp:keywords/>
  <dc:description/>
  <cp:lastModifiedBy>VICENTE</cp:lastModifiedBy>
  <dcterms:created xsi:type="dcterms:W3CDTF">2010-12-13T18:38:31Z</dcterms:created>
  <dcterms:modified xsi:type="dcterms:W3CDTF">2010-12-23T16:32:08Z</dcterms:modified>
  <cp:category/>
  <cp:version/>
  <cp:contentType/>
  <cp:contentStatus/>
</cp:coreProperties>
</file>